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" yWindow="820" windowWidth="10523" windowHeight="3888" tabRatio="823"/>
  </bookViews>
  <sheets>
    <sheet name="Naslovnica" sheetId="38" r:id="rId1"/>
    <sheet name="pomoćna" sheetId="8" state="hidden" r:id="rId2"/>
    <sheet name="Društva" sheetId="2" state="hidden" r:id="rId3"/>
    <sheet name="Društva-ž+n-ZBP" sheetId="42" r:id="rId4"/>
    <sheet name="Društva-BROJ OSIG." sheetId="43" r:id="rId5"/>
    <sheet name="Skupni-premija-NO+ŽO-08-07" sheetId="44" r:id="rId6"/>
    <sheet name="Skupni-br.osig.-NO+ŽO-07-08" sheetId="48" r:id="rId7"/>
    <sheet name="Skupni-br.šteta.-07-08" sheetId="46" r:id="rId8"/>
    <sheet name="Skupni-likv.štete-kn-08-07" sheetId="49" r:id="rId9"/>
    <sheet name="Skupni-premija-obvezna" sheetId="16" r:id="rId10"/>
    <sheet name="Skupni-štete-obvezna" sheetId="20" r:id="rId11"/>
    <sheet name="Skupni-premija-nezgoda i zdr." sheetId="21" r:id="rId12"/>
    <sheet name="Skupni-štete-nezgoda i zdr." sheetId="22" r:id="rId13"/>
    <sheet name="Skupni-premije-vrste-kasko" sheetId="27" r:id="rId14"/>
    <sheet name="Skupni-štete-vrste-kasko" sheetId="26" r:id="rId15"/>
    <sheet name="Skupni-premija-imovina" sheetId="28" r:id="rId16"/>
    <sheet name="Skupni-štete-imovina" sheetId="29" r:id="rId17"/>
    <sheet name="Skupni-premija-odgovornost" sheetId="30" r:id="rId18"/>
    <sheet name="Skupni-štete-odgovornost" sheetId="31" r:id="rId19"/>
    <sheet name="Skupni-premija-ostala odgov." sheetId="32" r:id="rId20"/>
    <sheet name="Skupni-štete-ostala odgov" sheetId="33" r:id="rId21"/>
    <sheet name="Skupni-premija-ostalo" sheetId="34" r:id="rId22"/>
    <sheet name="Skupni-štete-ostalo" sheetId="35" r:id="rId23"/>
    <sheet name="Skupni-premija-život" sheetId="36" r:id="rId24"/>
    <sheet name="Skupni-štete-život" sheetId="37" r:id="rId25"/>
    <sheet name="HUOS" sheetId="50" r:id="rId26"/>
    <sheet name="HUOS podloga" sheetId="51" state="hidden" r:id="rId27"/>
  </sheets>
  <definedNames>
    <definedName name="_xlnm.Print_Area" localSheetId="4">'Društva-BROJ OSIG.'!$B$1:$Q$36</definedName>
    <definedName name="_xlnm.Print_Area" localSheetId="3">'Društva-ž+n-ZBP'!$B$1:$Q$36</definedName>
    <definedName name="_xlnm.Print_Area" localSheetId="6">'Skupni-br.osig.-NO+ŽO-07-08'!$B$1:$I$35</definedName>
    <definedName name="_xlnm.Print_Area" localSheetId="7">'Skupni-br.šteta.-07-08'!$B$1:$I$35</definedName>
    <definedName name="_xlnm.Print_Area" localSheetId="8">'Skupni-likv.štete-kn-08-07'!$B$1:$I$35</definedName>
    <definedName name="_xlnm.Print_Area" localSheetId="15">'Skupni-premija-imovina'!$B$1:$L$33</definedName>
    <definedName name="_xlnm.Print_Area" localSheetId="11">'Skupni-premija-nezgoda i zdr.'!$B$1:$L$27</definedName>
    <definedName name="_xlnm.Print_Area" localSheetId="5">'Skupni-premija-NO+ŽO-08-07'!$B$1:$I$35</definedName>
    <definedName name="_xlnm.Print_Area" localSheetId="9">'Skupni-premija-obvezna'!$B$1:$L$14</definedName>
    <definedName name="_xlnm.Print_Area" localSheetId="23">'Skupni-premija-život'!$A$1:$L$49</definedName>
    <definedName name="_xlnm.Print_Area" localSheetId="13">'Skupni-premije-vrste-kasko'!$B$1:$L$32</definedName>
    <definedName name="_xlnm.Print_Area" localSheetId="16">'Skupni-štete-imovina'!$B$1:$H$33</definedName>
    <definedName name="_xlnm.Print_Area" localSheetId="12">'Skupni-štete-nezgoda i zdr.'!$B$1:$H$27</definedName>
    <definedName name="_xlnm.Print_Area" localSheetId="10">'Skupni-štete-obvezna'!$B$1:$H$14</definedName>
    <definedName name="_xlnm.Print_Area" localSheetId="14">'Skupni-štete-vrste-kasko'!$B$1:$H$32</definedName>
    <definedName name="_xlnm.Print_Titles" localSheetId="23">'Skupni-premija-život'!$1:$6</definedName>
    <definedName name="_xlnm.Print_Titles" localSheetId="24">'Skupni-štete-život'!$1:$6</definedName>
    <definedName name="Query_from_SQL_Server" localSheetId="2" hidden="1">Društva!$A$2:$B$43</definedName>
  </definedNames>
  <calcPr calcId="145621" iterate="1"/>
  <pivotCaches>
    <pivotCache cacheId="7" r:id="rId28"/>
    <pivotCache cacheId="8" r:id="rId29"/>
  </pivotCaches>
</workbook>
</file>

<file path=xl/calcChain.xml><?xml version="1.0" encoding="utf-8"?>
<calcChain xmlns="http://schemas.openxmlformats.org/spreadsheetml/2006/main">
  <c r="B16" i="50" l="1"/>
  <c r="A15" i="51"/>
  <c r="B32" i="50"/>
  <c r="E5" i="51"/>
  <c r="B15" i="50"/>
  <c r="A14" i="51"/>
  <c r="A22" i="51"/>
  <c r="A31" i="51"/>
  <c r="A34" i="51"/>
  <c r="B13" i="50"/>
  <c r="B21" i="50"/>
  <c r="B26" i="50"/>
  <c r="D13" i="50"/>
  <c r="B28" i="50"/>
  <c r="B5" i="51"/>
  <c r="A21" i="51"/>
  <c r="B2" i="51"/>
  <c r="B23" i="50"/>
  <c r="B12" i="50"/>
  <c r="D16" i="50"/>
  <c r="B14" i="50"/>
  <c r="C16" i="50"/>
  <c r="C26" i="50"/>
  <c r="A30" i="51"/>
  <c r="D28" i="50"/>
  <c r="D5" i="51"/>
  <c r="A11" i="51"/>
  <c r="B29" i="50"/>
  <c r="C5" i="51"/>
  <c r="A20" i="51"/>
  <c r="A32" i="51"/>
  <c r="A29" i="51"/>
  <c r="A9" i="51"/>
  <c r="B30" i="50"/>
  <c r="A28" i="51"/>
  <c r="B31" i="50"/>
  <c r="B3" i="51"/>
  <c r="D31" i="50"/>
  <c r="A17" i="51"/>
  <c r="C31" i="50"/>
  <c r="D17" i="51"/>
  <c r="E14" i="51"/>
  <c r="F21" i="50"/>
  <c r="F16" i="50"/>
  <c r="A7" i="51"/>
  <c r="B32" i="51"/>
  <c r="D12" i="50"/>
  <c r="F26" i="50"/>
  <c r="F28" i="50"/>
  <c r="B34" i="51"/>
  <c r="B11" i="51"/>
  <c r="B24" i="50"/>
  <c r="B10" i="50"/>
  <c r="D10" i="50" s="1"/>
  <c r="A13" i="51"/>
  <c r="C13" i="51" s="1"/>
  <c r="E15" i="50"/>
  <c r="A33" i="51"/>
  <c r="B22" i="50"/>
  <c r="A27" i="51"/>
  <c r="B19" i="50"/>
  <c r="C19" i="50" s="1"/>
  <c r="A18" i="51"/>
  <c r="C28" i="50"/>
  <c r="C22" i="51"/>
  <c r="B25" i="50"/>
  <c r="A12" i="51"/>
  <c r="D9" i="51"/>
  <c r="E17" i="51"/>
  <c r="C12" i="51"/>
  <c r="C27" i="51"/>
  <c r="B11" i="50"/>
  <c r="A8" i="51"/>
  <c r="A6" i="51"/>
  <c r="B9" i="50"/>
  <c r="D26" i="50"/>
  <c r="B33" i="50"/>
  <c r="F15" i="50"/>
  <c r="D11" i="51"/>
  <c r="E23" i="50"/>
  <c r="B27" i="50"/>
  <c r="A24" i="51"/>
  <c r="C11" i="50"/>
  <c r="D20" i="51"/>
  <c r="B8" i="51"/>
  <c r="E24" i="51"/>
  <c r="E13" i="50"/>
  <c r="D15" i="50"/>
  <c r="E28" i="50"/>
  <c r="D15" i="51"/>
  <c r="C20" i="51"/>
  <c r="E30" i="51"/>
  <c r="C14" i="51"/>
  <c r="B29" i="51"/>
  <c r="D34" i="51"/>
  <c r="D14" i="51"/>
  <c r="B31" i="51"/>
  <c r="D6" i="51"/>
  <c r="B27" i="51"/>
  <c r="B13" i="51"/>
  <c r="C34" i="51"/>
  <c r="E31" i="51"/>
  <c r="C12" i="50"/>
  <c r="D25" i="50"/>
  <c r="B20" i="50"/>
  <c r="E29" i="50"/>
  <c r="A16" i="51"/>
  <c r="E16" i="51" s="1"/>
  <c r="C9" i="50"/>
  <c r="D19" i="50"/>
  <c r="B6" i="51"/>
  <c r="D31" i="51"/>
  <c r="E26" i="50"/>
  <c r="E10" i="50"/>
  <c r="F13" i="50"/>
  <c r="C29" i="51"/>
  <c r="D7" i="51"/>
  <c r="C18" i="51"/>
  <c r="D22" i="51"/>
  <c r="C15" i="50"/>
  <c r="B8" i="50"/>
  <c r="D33" i="51"/>
  <c r="F10" i="50"/>
  <c r="C21" i="50"/>
  <c r="D21" i="51"/>
  <c r="D18" i="51"/>
  <c r="C30" i="51"/>
  <c r="C21" i="51"/>
  <c r="B15" i="51"/>
  <c r="E33" i="51"/>
  <c r="E28" i="51"/>
  <c r="E12" i="50"/>
  <c r="A10" i="51"/>
  <c r="B18" i="50"/>
  <c r="E6" i="51"/>
  <c r="D8" i="50"/>
  <c r="E31" i="50"/>
  <c r="C24" i="51"/>
  <c r="B9" i="51"/>
  <c r="D24" i="51"/>
  <c r="C11" i="51"/>
  <c r="D28" i="51"/>
  <c r="E18" i="51"/>
  <c r="E27" i="51"/>
  <c r="B24" i="51"/>
  <c r="B18" i="51"/>
  <c r="B22" i="51"/>
  <c r="F23" i="50"/>
  <c r="E19" i="50"/>
  <c r="A19" i="51"/>
  <c r="A23" i="51"/>
  <c r="A25" i="51"/>
  <c r="D21" i="50"/>
  <c r="E16" i="50"/>
  <c r="E13" i="51"/>
  <c r="C33" i="51"/>
  <c r="E32" i="51"/>
  <c r="C17" i="51"/>
  <c r="E8" i="51"/>
  <c r="C6" i="51"/>
  <c r="D27" i="51"/>
  <c r="C9" i="51"/>
  <c r="E22" i="51"/>
  <c r="E9" i="51"/>
  <c r="D23" i="50"/>
  <c r="F19" i="50"/>
  <c r="C25" i="50"/>
  <c r="A26" i="51"/>
  <c r="E11" i="50"/>
  <c r="B34" i="50"/>
  <c r="B17" i="50"/>
  <c r="D26" i="51"/>
  <c r="E12" i="51"/>
  <c r="E11" i="51"/>
  <c r="D19" i="51"/>
  <c r="E15" i="51"/>
  <c r="D13" i="51"/>
  <c r="B17" i="51"/>
  <c r="B28" i="51"/>
  <c r="C7" i="51"/>
  <c r="B21" i="51"/>
  <c r="E34" i="51"/>
  <c r="C23" i="50"/>
  <c r="F29" i="50"/>
  <c r="C29" i="50"/>
  <c r="D32" i="51"/>
  <c r="D16" i="51"/>
  <c r="E20" i="51"/>
  <c r="C15" i="51"/>
  <c r="E23" i="51"/>
  <c r="B33" i="51"/>
  <c r="E7" i="51"/>
  <c r="B14" i="51"/>
  <c r="B16" i="51"/>
  <c r="B30" i="51"/>
  <c r="B7" i="51"/>
  <c r="B20" i="51"/>
  <c r="C25" i="51"/>
  <c r="C16" i="51"/>
  <c r="C31" i="51"/>
  <c r="C32" i="51"/>
  <c r="D29" i="51"/>
  <c r="C28" i="51"/>
  <c r="E25" i="50"/>
  <c r="F25" i="50"/>
  <c r="D12" i="51"/>
  <c r="B12" i="51"/>
  <c r="F11" i="50"/>
  <c r="D11" i="50"/>
  <c r="D8" i="51"/>
  <c r="C8" i="51"/>
  <c r="E9" i="50"/>
  <c r="F9" i="50"/>
  <c r="D9" i="50"/>
  <c r="F33" i="50"/>
  <c r="C33" i="50"/>
  <c r="D33" i="50"/>
  <c r="D27" i="50"/>
  <c r="E27" i="50"/>
  <c r="C27" i="50"/>
  <c r="E20" i="50"/>
  <c r="F20" i="50"/>
  <c r="D20" i="50"/>
  <c r="C20" i="50"/>
  <c r="F8" i="50"/>
  <c r="C8" i="50"/>
  <c r="C10" i="51"/>
  <c r="D10" i="51"/>
  <c r="E10" i="51"/>
  <c r="B10" i="51"/>
  <c r="E19" i="51"/>
  <c r="B19" i="51"/>
  <c r="C19" i="51"/>
  <c r="D23" i="51"/>
  <c r="B23" i="51"/>
  <c r="C23" i="51"/>
  <c r="D25" i="51"/>
  <c r="E25" i="51"/>
  <c r="B25" i="51"/>
  <c r="C26" i="51"/>
  <c r="B26" i="51"/>
  <c r="E26" i="51"/>
  <c r="D17" i="50"/>
  <c r="C17" i="50"/>
  <c r="E17" i="50"/>
  <c r="C13" i="50"/>
  <c r="E29" i="51"/>
  <c r="D30" i="51"/>
  <c r="C10" i="50"/>
  <c r="F17" i="50"/>
  <c r="E8" i="50"/>
  <c r="F27" i="50"/>
  <c r="F31" i="50"/>
  <c r="F12" i="50"/>
  <c r="E33" i="50"/>
  <c r="D29" i="50"/>
  <c r="E21" i="50"/>
  <c r="E21" i="51"/>
  <c r="A1" i="50" l="1"/>
  <c r="F34" i="50" l="1"/>
  <c r="F32" i="50"/>
  <c r="F30" i="50"/>
  <c r="F24" i="50"/>
  <c r="F22" i="50"/>
  <c r="F18" i="50"/>
  <c r="E34" i="50"/>
  <c r="E32" i="50"/>
  <c r="E30" i="50"/>
  <c r="E24" i="50"/>
  <c r="E22" i="50"/>
  <c r="E18" i="50"/>
  <c r="D34" i="50"/>
  <c r="D32" i="50"/>
  <c r="D30" i="50"/>
  <c r="D24" i="50"/>
  <c r="D22" i="50"/>
  <c r="D18" i="50"/>
  <c r="C34" i="50"/>
  <c r="C32" i="50"/>
  <c r="C30" i="50"/>
  <c r="C24" i="50"/>
  <c r="C22" i="50"/>
  <c r="C18" i="50"/>
  <c r="C14" i="50"/>
  <c r="F14" i="50"/>
  <c r="E14" i="50"/>
  <c r="D14" i="50"/>
  <c r="D36" i="50" l="1"/>
  <c r="E36" i="50"/>
  <c r="F36" i="50"/>
  <c r="C36" i="50"/>
  <c r="C69" i="8" l="1"/>
  <c r="F35" i="8"/>
  <c r="F49" i="8"/>
  <c r="F52" i="8"/>
  <c r="C74" i="8"/>
  <c r="C11" i="8"/>
  <c r="C63" i="8"/>
  <c r="B1" i="8"/>
  <c r="C45" i="8"/>
  <c r="C65" i="8"/>
  <c r="F16" i="8"/>
  <c r="C10" i="8"/>
  <c r="C64" i="8"/>
  <c r="C91" i="8"/>
  <c r="A31" i="8"/>
  <c r="F46" i="8"/>
  <c r="C73" i="8"/>
  <c r="C76" i="8"/>
  <c r="F24" i="8"/>
  <c r="F50" i="8"/>
  <c r="C89" i="8"/>
  <c r="C61" i="8"/>
  <c r="F38" i="8"/>
  <c r="C39" i="8"/>
  <c r="C32" i="8"/>
  <c r="A21" i="8"/>
  <c r="C80" i="8"/>
  <c r="C36" i="8"/>
  <c r="C121" i="8"/>
  <c r="F43" i="8"/>
  <c r="C18" i="8"/>
  <c r="C41" i="8"/>
  <c r="C35" i="8"/>
  <c r="C93" i="8"/>
  <c r="C101" i="8"/>
  <c r="C51" i="8"/>
  <c r="F54" i="8"/>
  <c r="C43" i="8"/>
  <c r="C50" i="8"/>
  <c r="C102" i="8"/>
  <c r="C9" i="8"/>
  <c r="A26" i="8"/>
  <c r="C96" i="8"/>
  <c r="C30" i="8"/>
  <c r="F11" i="8"/>
  <c r="F31" i="8"/>
  <c r="F7" i="8"/>
  <c r="F27" i="8"/>
  <c r="C99" i="8"/>
  <c r="A11" i="8"/>
  <c r="A12" i="8"/>
  <c r="C81" i="8"/>
  <c r="C49" i="8"/>
  <c r="F53" i="8"/>
  <c r="C56" i="8"/>
  <c r="C31" i="8"/>
  <c r="C98" i="8"/>
  <c r="C12" i="8"/>
  <c r="A15" i="8"/>
  <c r="C79" i="8"/>
  <c r="F34" i="8"/>
  <c r="C111" i="8"/>
  <c r="C52" i="8"/>
  <c r="A28" i="8"/>
  <c r="C40" i="8"/>
  <c r="F44" i="8"/>
  <c r="A27" i="8"/>
  <c r="C60" i="8"/>
  <c r="C29" i="8"/>
  <c r="C109" i="8"/>
  <c r="A20" i="8"/>
  <c r="C19" i="8"/>
  <c r="C104" i="8"/>
  <c r="F28" i="8"/>
  <c r="C58" i="8"/>
  <c r="C107" i="8"/>
  <c r="C16" i="8"/>
  <c r="F29" i="8"/>
  <c r="C108" i="8"/>
  <c r="F19" i="8"/>
  <c r="C115" i="8"/>
  <c r="C110" i="8"/>
  <c r="C57" i="8"/>
  <c r="C53" i="8"/>
  <c r="A33" i="8"/>
  <c r="C14" i="8"/>
  <c r="C68" i="8"/>
  <c r="C38" i="8"/>
  <c r="A1" i="8"/>
  <c r="C23" i="8"/>
  <c r="C119" i="8"/>
  <c r="C1" i="8"/>
  <c r="C42" i="8"/>
  <c r="F21" i="8"/>
  <c r="C116" i="8"/>
  <c r="C62" i="8"/>
  <c r="F23" i="8"/>
  <c r="F18" i="8"/>
  <c r="C37" i="8"/>
  <c r="A25" i="8"/>
  <c r="A17" i="8"/>
  <c r="A29" i="8"/>
  <c r="C66" i="8"/>
  <c r="C71" i="8"/>
  <c r="C100" i="8"/>
  <c r="C70" i="8"/>
  <c r="C106" i="8"/>
  <c r="B2" i="8"/>
  <c r="A32" i="8"/>
  <c r="F33" i="8"/>
  <c r="A30" i="8"/>
  <c r="C34" i="8"/>
  <c r="A18" i="8"/>
  <c r="F41" i="8"/>
  <c r="C46" i="8"/>
  <c r="F47" i="8"/>
  <c r="A16" i="8"/>
  <c r="C84" i="8"/>
  <c r="C94" i="8"/>
  <c r="C95" i="8"/>
  <c r="F15" i="8"/>
  <c r="F9" i="8"/>
  <c r="C55" i="8"/>
  <c r="A13" i="8"/>
  <c r="G6" i="8"/>
  <c r="A24" i="8"/>
  <c r="A14" i="8"/>
  <c r="C13" i="8"/>
  <c r="C72" i="8"/>
  <c r="C54" i="8"/>
  <c r="C24" i="8"/>
  <c r="C85" i="8"/>
  <c r="G31" i="8"/>
  <c r="G50" i="8"/>
  <c r="A8" i="8"/>
  <c r="G7" i="8"/>
  <c r="G16" i="8"/>
  <c r="C48" i="8"/>
  <c r="F17" i="8"/>
  <c r="C88" i="8"/>
  <c r="F42" i="8"/>
  <c r="G42" i="8" s="1"/>
  <c r="C82" i="8"/>
  <c r="C103" i="8"/>
  <c r="A10" i="8"/>
  <c r="G11" i="8"/>
  <c r="G46" i="8"/>
  <c r="C117" i="8"/>
  <c r="G24" i="8"/>
  <c r="C26" i="8"/>
  <c r="A34" i="8"/>
  <c r="F51" i="8"/>
  <c r="F22" i="8"/>
  <c r="F40" i="8"/>
  <c r="G40" i="8" s="1"/>
  <c r="F32" i="8"/>
  <c r="C21" i="8"/>
  <c r="C8" i="8"/>
  <c r="C15" i="8"/>
  <c r="G51" i="8"/>
  <c r="F13" i="8"/>
  <c r="F14" i="8"/>
  <c r="A23" i="8"/>
  <c r="C27" i="8"/>
  <c r="A7" i="8"/>
  <c r="C25" i="8"/>
  <c r="C105" i="8"/>
  <c r="C77" i="8"/>
  <c r="C114" i="8"/>
  <c r="F36" i="8"/>
  <c r="G36" i="8" s="1"/>
  <c r="F25" i="8"/>
  <c r="G25" i="8" s="1"/>
  <c r="F26" i="8"/>
  <c r="G26" i="8" s="1"/>
  <c r="C92" i="8"/>
  <c r="C22" i="8"/>
  <c r="C75" i="8"/>
  <c r="C17" i="8"/>
  <c r="C78" i="8"/>
  <c r="C87" i="8"/>
  <c r="C112" i="8"/>
  <c r="G33" i="8"/>
  <c r="C120" i="8"/>
  <c r="G22" i="8"/>
  <c r="C28" i="8"/>
  <c r="C47" i="8"/>
  <c r="G28" i="8"/>
  <c r="A9" i="8"/>
  <c r="F37" i="8"/>
  <c r="G38" i="8"/>
  <c r="F39" i="8"/>
  <c r="F10" i="8"/>
  <c r="C67" i="8"/>
  <c r="G43" i="8"/>
  <c r="C44" i="8"/>
  <c r="C90" i="8"/>
  <c r="G37" i="8"/>
  <c r="C97" i="8"/>
  <c r="G53" i="8"/>
  <c r="C7" i="8"/>
  <c r="G35" i="8"/>
  <c r="A19" i="8"/>
  <c r="G49" i="8"/>
  <c r="C86" i="8"/>
  <c r="C118" i="8"/>
  <c r="G27" i="8"/>
  <c r="F30" i="8"/>
  <c r="G30" i="8" s="1"/>
  <c r="C33" i="8"/>
  <c r="C83" i="8"/>
  <c r="A22" i="8"/>
  <c r="G19" i="8"/>
  <c r="F48" i="8"/>
  <c r="G32" i="8"/>
  <c r="G9" i="8"/>
  <c r="F45" i="8"/>
  <c r="C59" i="8"/>
  <c r="F12" i="8"/>
  <c r="G12" i="8" s="1"/>
  <c r="C113" i="8"/>
  <c r="C20" i="8"/>
  <c r="F8" i="8"/>
  <c r="G8" i="8" s="1"/>
  <c r="F20" i="8"/>
  <c r="G13" i="8"/>
  <c r="C2" i="8"/>
  <c r="G10" i="8"/>
  <c r="G15" i="8"/>
  <c r="G39" i="8"/>
  <c r="G20" i="8"/>
  <c r="G47" i="8"/>
  <c r="G41" i="8"/>
  <c r="G21" i="8"/>
  <c r="G23" i="8"/>
  <c r="G29" i="8"/>
  <c r="G52" i="8"/>
  <c r="G44" i="8"/>
  <c r="G34" i="8"/>
  <c r="G54" i="8"/>
  <c r="G45" i="8" l="1"/>
  <c r="G14" i="8"/>
  <c r="G17" i="8"/>
  <c r="G18" i="8"/>
  <c r="A2" i="8"/>
  <c r="G48" i="8"/>
</calcChain>
</file>

<file path=xl/connections.xml><?xml version="1.0" encoding="utf-8"?>
<connections xmlns="http://schemas.openxmlformats.org/spreadsheetml/2006/main">
  <connection id="1" odcFile="\\tesla\Home\mpremor\Dokumenti\My Data Sources\hvar HUOBI RH Statistika.odc" keepAlive="1" name="\\tesla\Home\mpremor\Dokumenti\My Data Sources\hvar HUOBI RH Statistika" type="5" refreshedVersion="4" background="1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  <connection id="2" odcFile="\\tesla\Home\mpremor\Dokumenti\My Data Sources\hvar HUOBI RH Statistika.odc" keepAlive="1" name="hvar HUOBI RH Statistika" type="5" refreshedVersion="0" new="1" background="1">
    <dbPr connection="Provider=MSOLAP.4;Integrated Security=SSPI;Persist Security Info=True;Data Source=hvar;Initial Catalog=HUOBI" command="RH Statistika" commandType="1"/>
    <olapPr sendLocale="1" rowDrillCount="1000"/>
  </connection>
  <connection id="3" odcFile="http://biportal/Statistika/Data Connections for PerformancePoint/HUO OLAP RH Statistika.odc" keepAlive="1" name="KRK HUO2 RH Statistika" type="5" refreshedVersion="4" background="1" saveData="1" credentials="stored" singleSignOnId="PowerPivotDataRefresh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  <connection id="4" name="Query from SQL Server" type="1" refreshedVersion="4" background="1" saveData="1">
    <dbPr connection="DRIVER=SQL Server;SERVER=192.168.100.16;UID=exceluser;Trusted_Connection=Yes;APP=Microsoft Office 2010;WSID=COMMBOOK-69;DATABASE=HUO_DWH" command="SELECT dDrustva.IDDrustvo, dDrustva.NazivDrustva_x000d__x000a_FROM HUO_DWH.dbo.dDrustva dDrustva_x000d__x000a_WHERE (dDrustva.ID Like 'HR%') AND (dDrustva.ParentID Is Null)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2">
    <s v="KRK HUO2 RH Statistika"/>
    <s v="[Društva].[Hierarchy].[Društvo].&amp;[34]"/>
    <s v="[Društva].[Hierarchy].[Društvo].&amp;[39]"/>
    <s v="[Društva].[Hierarchy].[Društvo].&amp;[10]"/>
    <s v="[Društva].[Hierarchy].[Društvo].&amp;[32]"/>
    <s v="[Društva].[Hierarchy].[Društvo].&amp;[33]"/>
    <s v="[Društva].[Hierarchy].[Društvo].&amp;[8]"/>
    <s v="[Skupine osiguranja].[Skupina osiguranja].&amp;[2]"/>
    <s v="[Društva].[Hierarchy].[Društvo].&amp;[37]"/>
    <s v="[Društva].[Hierarchy].[Društvo].&amp;[25]"/>
    <s v="[Društva].[Hierarchy].[Društvo].&amp;[41]"/>
    <s v="[Društva].[Hierarchy].[Društvo].&amp;[16]"/>
    <s v="[Društva].[Hierarchy].[Društvo].&amp;[23]"/>
    <s v="[Društva].[Hierarchy].[Društvo].&amp;[38]"/>
    <s v="[Društva].[Hierarchy].[Društvo].&amp;[6]"/>
    <s v="[Društva].[Hierarchy].[Društvo].&amp;[40]"/>
    <s v="[Društva].[Hierarchy].[Društvo].&amp;[5]"/>
    <s v="[Measures].[Zaračunata bruto premija osiguranja- rizici]"/>
    <s v="[Društva].[Hierarchy].[Društvo].&amp;[35]"/>
    <s v="[Društva].[Hierarchy].[Društvo].&amp;[36]"/>
    <s v="[Društva].[Hierarchy].[Društvo].&amp;[12]"/>
    <s v="[Društva].[Hierarchy].[Društvo].&amp;[18]"/>
    <s v="[Društva].[Hierarchy].[Društvo].&amp;[31]"/>
    <s v="[Skupine osiguranja].[Skupina osiguranja].&amp;[1]"/>
    <s v="[Društva].[Hierarchy].[Društvo].&amp;[21]"/>
    <s v="[Društva].[Hierarchy].[Društvo].&amp;[30]"/>
    <s v="[Društva].[Hierarchy].[Društvo].&amp;[20]"/>
    <s v="[Društva].[Hierarchy].[Društvo].&amp;[29]"/>
    <s v="[Skupine osiguranja].[Skupina osiguranja].[Sve]"/>
    <s v="#,##0.00"/>
    <s v="[Measures].[Broj osiguranja- rizici]"/>
    <s v="[Measures].[Likvidirane štete bruto - rizici]"/>
    <s v="[Measures].[Broj šteta - rizici]"/>
    <s v="#,##0"/>
    <s v="[Rizici].[hSkupineRiziciOsiguranja].[Sve]"/>
    <s v="[Rizici].[hSkupineRiziciOsiguranja].[Skupina osiguranja].&amp;[2]"/>
    <s v="[Rizici].[hSkupineRiziciOsiguranja].[Vrsta osiguranja].&amp;[15]"/>
    <s v="[Rizici].[hSkupineRiziciOsiguranja].[Vrsta osiguranja].&amp;[11]"/>
    <s v="[Rizici].[hSkupineRiziciOsiguranja].[Vrsta osiguranja].&amp;[7]"/>
    <s v="[Rizici].[hSkupineRiziciOsiguranja].[Vrsta osiguranja].&amp;[3]"/>
    <s v="[Rizici].[hSkupineRiziciOsiguranja].[Vrsta osiguranja].&amp;[13]"/>
    <s v="[Rizici].[hSkupineRiziciOsiguranja].[Vrsta osiguranja].&amp;[5]"/>
    <s v="[Rizici].[hSkupineRiziciOsiguranja].[Vrsta osiguranja].&amp;[12]"/>
    <s v="[Rizici].[hSkupineRiziciOsiguranja].[Skupina osiguranja].&amp;[1]"/>
    <s v="[Rizici].[hSkupineRiziciOsiguranja].[Vrsta osiguranja].&amp;[18]"/>
    <s v="[Rizici].[hSkupineRiziciOsiguranja].[Vrsta osiguranja].&amp;[14]"/>
    <s v="[Rizici].[hSkupineRiziciOsiguranja].[Vrsta osiguranja].&amp;[10]"/>
    <s v="[Rizici].[hSkupineRiziciOsiguranja].[Vrsta osiguranja].&amp;[6]"/>
    <s v="[Rizici].[hSkupineRiziciOsiguranja].[Vrsta osiguranja].&amp;[2]"/>
    <s v="[Rizici].[hSkupineRiziciOsiguranja].[Vrsta osiguranja].&amp;[17]"/>
    <s v="[Rizici].[hSkupineRiziciOsiguranja].[Vrsta osiguranja].&amp;[9]"/>
    <s v="[Rizici].[hSkupineRiziciOsiguranja].[Vrsta osiguranja].&amp;[1]"/>
    <s v="[Rizici].[hSkupineRiziciOsiguranja].[Vrsta osiguranja].&amp;[16]"/>
    <s v="[Rizici].[hSkupineRiziciOsiguranja].[Vrsta osiguranja].&amp;[8]"/>
    <s v="[Rizici].[hSkupineRiziciOsiguranja].[Vrsta osiguranja].&amp;[4]"/>
    <s v="[Vrste osiguranja].[hSkupineVrsteOsiguranja].[Sve]"/>
    <s v="[Vrste osiguranja].[hSkupineVrsteOsiguranja].[Vrsta osiguranja].&amp;[22]"/>
    <s v="[Vrste osiguranja].[hSkupineVrsteOsiguranja].[Skupina osiguranja].&amp;[2]"/>
    <s v="[Vrste osiguranja].[hSkupineVrsteOsiguranja].[Vrsta osiguranja].&amp;[15]"/>
    <s v="[Vrste osiguranja].[hSkupineVrsteOsiguranja].[Vrsta osiguranja].&amp;[11]"/>
    <s v="[Vrste osiguranja].[hSkupineVrsteOsiguranja].[Vrsta osiguranja].&amp;[7]"/>
    <s v="[Vrste osiguranja].[hSkupineVrsteOsiguranja].[Vrsta osiguranja].&amp;[3]"/>
    <s v="[Vrste osiguranja].[hSkupineVrsteOsiguranja].[Vrsta osiguranja].&amp;[25]"/>
    <s v="[Vrste osiguranja].[hSkupineVrsteOsiguranja].[Vrsta osiguranja].&amp;[21]"/>
    <s v="[Vrste osiguranja].[hSkupineVrsteOsiguranja].[Vrsta osiguranja].&amp;[18]"/>
    <s v="[Vrste osiguranja].[hSkupineVrsteOsiguranja].[Vrsta osiguranja].&amp;[14]"/>
    <s v="[Vrste osiguranja].[hSkupineVrsteOsiguranja].[Vrsta osiguranja].&amp;[10]"/>
    <s v="[Vrste osiguranja].[hSkupineVrsteOsiguranja].[Vrsta osiguranja].&amp;[6]"/>
    <s v="[Vrste osiguranja].[hSkupineVrsteOsiguranja].[Vrsta osiguranja].&amp;[2]"/>
    <s v="[Vrste osiguranja].[hSkupineVrsteOsiguranja].[Vrsta osiguranja].&amp;[24]"/>
    <s v="[Vrste osiguranja].[hSkupineVrsteOsiguranja].[Vrsta osiguranja].&amp;[20]"/>
    <s v="[Vrste osiguranja].[hSkupineVrsteOsiguranja].[Vrsta osiguranja].&amp;[17]"/>
    <s v="[Vrste osiguranja].[hSkupineVrsteOsiguranja].[Vrsta osiguranja].&amp;[13]"/>
    <s v="[Vrste osiguranja].[hSkupineVrsteOsiguranja].[Vrsta osiguranja].&amp;[9]"/>
    <s v="[Vrste osiguranja].[hSkupineVrsteOsiguranja].[Vrsta osiguranja].&amp;[5]"/>
    <s v="[Vrste osiguranja].[hSkupineVrsteOsiguranja].[Vrsta osiguranja].&amp;[1]"/>
    <s v="[Vrste osiguranja].[hSkupineVrsteOsiguranja].[Vrsta osiguranja].&amp;[23]"/>
    <s v="[Vrste osiguranja].[hSkupineVrsteOsiguranja].[Vrsta osiguranja].&amp;[19]"/>
    <s v="[Vrste osiguranja].[hSkupineVrsteOsiguranja].[Vrsta osiguranja].&amp;[16]"/>
    <s v="[Vrste osiguranja].[hSkupineVrsteOsiguranja].[Vrsta osiguranja].&amp;[12]"/>
    <s v="[Vrste osiguranja].[hSkupineVrsteOsiguranja].[Vrsta osiguranja].&amp;[8]"/>
    <s v="[Vrste osiguranja].[hSkupineVrsteOsiguranja].[Vrsta osiguranja].&amp;[4]"/>
    <s v="[Vrste osiguranja].[hSkupineVrsteOsiguranja].[Skupina osiguranja].&amp;[1]"/>
    <s v="[Rizici].[hSkupineRiziciOsiguranja].[Rizik].&amp;[93]"/>
    <s v="[Rizici].[hSkupineRiziciOsiguranja].[Rizik].&amp;[86]"/>
    <s v="[Rizici].[hSkupineRiziciOsiguranja].[Rizik].&amp;[83]"/>
    <s v="[Rizici].[hSkupineRiziciOsiguranja].[Rizik].&amp;[80]"/>
    <s v="[Rizici].[hSkupineRiziciOsiguranja].[Rizik].&amp;[77]"/>
    <s v="[Rizici].[hSkupineRiziciOsiguranja].[Rizik].&amp;[73]"/>
    <s v="[Rizici].[hSkupineRiziciOsiguranja].[Rizik].&amp;[69]"/>
    <s v="[Rizici].[hSkupineRiziciOsiguranja].[Rizik].&amp;[65]"/>
    <s v="[Rizici].[hSkupineRiziciOsiguranja].[Rizik].&amp;[61]"/>
    <s v="[Rizici].[hSkupineRiziciOsiguranja].[Rizik].&amp;[58]"/>
    <s v="[Rizici].[hSkupineRiziciOsiguranja].[Rizik].&amp;[52]"/>
    <s v="[Rizici].[hSkupineRiziciOsiguranja].[Rizik].&amp;[45]"/>
    <s v="[Rizici].[hSkupineRiziciOsiguranja].[Rizik].&amp;[41]"/>
    <s v="[Rizici].[hSkupineRiziciOsiguranja].[Rizik].&amp;[37]"/>
    <s v="[Rizici].[hSkupineRiziciOsiguranja].[Rizik].&amp;[34]"/>
    <s v="[Rizici].[hSkupineRiziciOsiguranja].[Rizik].&amp;[31]"/>
    <s v="[Rizici].[hSkupineRiziciOsiguranja].[Rizik].&amp;[24]"/>
    <s v="[Rizici].[hSkupineRiziciOsiguranja].[Rizik].&amp;[21]"/>
    <s v="[Rizici].[hSkupineRiziciOsiguranja].[Rizik].&amp;[10]"/>
    <s v="[Rizici].[hSkupineRiziciOsiguranja].[Rizik].&amp;[7]"/>
    <s v="[Rizici].[hSkupineRiziciOsiguranja].[Rizik].&amp;[3]"/>
    <s v="[Rizici].[hSkupineRiziciOsiguranja].[Rizik].&amp;[91]"/>
    <s v="[Rizici].[hSkupineRiziciOsiguranja].[Rizik].&amp;[89]"/>
    <s v="[Rizici].[hSkupineRiziciOsiguranja].[Rizik].&amp;[85]"/>
    <s v="[Rizici].[hSkupineRiziciOsiguranja].[Rizik].&amp;[82]"/>
    <s v="[Rizici].[hSkupineRiziciOsiguranja].[Rizik].&amp;[79]"/>
    <s v="[Rizici].[hSkupineRiziciOsiguranja].[Rizik].&amp;[76]"/>
    <s v="[Rizici].[hSkupineRiziciOsiguranja].[Rizik].&amp;[72]"/>
    <s v="[Rizici].[hSkupineRiziciOsiguranja].[Rizik].&amp;[68]"/>
    <s v="[Rizici].[hSkupineRiziciOsiguranja].[Rizik].&amp;[64]"/>
    <s v="[Rizici].[hSkupineRiziciOsiguranja].[Rizik].&amp;[60]"/>
    <s v="[Rizici].[hSkupineRiziciOsiguranja].[Rizik].&amp;[57]"/>
    <s v="[Rizici].[hSkupineRiziciOsiguranja].[Rizik].&amp;[54]"/>
    <s v="[Rizici].[hSkupineRiziciOsiguranja].[Rizik].&amp;[51]"/>
    <s v="[Rizici].[hSkupineRiziciOsiguranja].[Rizik].&amp;[48]"/>
    <s v="[Rizici].[hSkupineRiziciOsiguranja].[Rizik].&amp;[44]"/>
    <s v="[Rizici].[hSkupineRiziciOsiguranja].[Rizik].&amp;[40]"/>
    <s v="[Rizici].[hSkupineRiziciOsiguranja].[Rizik].&amp;[36]"/>
    <s v="[Rizici].[hSkupineRiziciOsiguranja].[Rizik].&amp;[33]"/>
    <s v="[Rizici].[hSkupineRiziciOsiguranja].[Rizik].&amp;[30]"/>
    <s v="[Rizici].[hSkupineRiziciOsiguranja].[Rizik].&amp;[27]"/>
    <s v="[Rizici].[hSkupineRiziciOsiguranja].[Rizik].&amp;[23]"/>
    <s v="[Rizici].[hSkupineRiziciOsiguranja].[Rizik].&amp;[20]"/>
    <s v="[Rizici].[hSkupineRiziciOsiguranja].[Rizik].&amp;[18]"/>
    <s v="[Rizici].[hSkupineRiziciOsiguranja].[Rizik].&amp;[15]"/>
    <s v="[Rizici].[hSkupineRiziciOsiguranja].[Rizik].&amp;[9]"/>
    <s v="[Rizici].[hSkupineRiziciOsiguranja].[Rizik].&amp;[6]"/>
    <s v="[Rizici].[hSkupineRiziciOsiguranja].[Rizik].&amp;[2]"/>
    <s v="[Rizici].[hSkupineRiziciOsiguranja].[Rizik].&amp;[95]"/>
    <s v="[Rizici].[hSkupineRiziciOsiguranja].[Rizik].&amp;[88]"/>
    <s v="[Rizici].[hSkupineRiziciOsiguranja].[Rizik].&amp;[84]"/>
    <s v="[Rizici].[hSkupineRiziciOsiguranja].[Rizik].&amp;[75]"/>
    <s v="[Rizici].[hSkupineRiziciOsiguranja].[Rizik].&amp;[71]"/>
    <s v="[Rizici].[hSkupineRiziciOsiguranja].[Rizik].&amp;[67]"/>
    <s v="[Rizici].[hSkupineRiziciOsiguranja].[Rizik].&amp;[63]"/>
    <s v="[Rizici].[hSkupineRiziciOsiguranja].[Rizik].&amp;[59]"/>
    <s v="[Rizici].[hSkupineRiziciOsiguranja].[Rizik].&amp;[56]"/>
    <s v="[Rizici].[hSkupineRiziciOsiguranja].[Rizik].&amp;[53]"/>
    <s v="[Rizici].[hSkupineRiziciOsiguranja].[Rizik].&amp;[50]"/>
    <s v="[Rizici].[hSkupineRiziciOsiguranja].[Rizik].&amp;[47]"/>
    <s v="[Rizici].[hSkupineRiziciOsiguranja].[Rizik].&amp;[43]"/>
    <s v="[Rizici].[hSkupineRiziciOsiguranja].[Rizik].&amp;[39]"/>
    <s v="[Rizici].[hSkupineRiziciOsiguranja].[Rizik].&amp;[29]"/>
    <s v="[Rizici].[hSkupineRiziciOsiguranja].[Rizik].&amp;[26]"/>
    <s v="[Rizici].[hSkupineRiziciOsiguranja].[Rizik].&amp;[22]"/>
    <s v="[Rizici].[hSkupineRiziciOsiguranja].[Rizik].&amp;[17]"/>
    <s v="[Rizici].[hSkupineRiziciOsiguranja].[Rizik].&amp;[14]"/>
    <s v="[Rizici].[hSkupineRiziciOsiguranja].[Rizik].&amp;[5]"/>
    <s v="[Rizici].[hSkupineRiziciOsiguranja].[Rizik].&amp;[1]"/>
    <s v="[Rizici].[hSkupineRiziciOsiguranja].[Rizik].&amp;[94]"/>
    <s v="[Rizici].[hSkupineRiziciOsiguranja].[Rizik].&amp;[90]"/>
    <s v="[Rizici].[hSkupineRiziciOsiguranja].[Rizik].&amp;[87]"/>
    <s v="[Rizici].[hSkupineRiziciOsiguranja].[Rizik].&amp;[81]"/>
    <s v="[Rizici].[hSkupineRiziciOsiguranja].[Rizik].&amp;[78]"/>
    <s v="[Rizici].[hSkupineRiziciOsiguranja].[Rizik].&amp;[74]"/>
    <s v="[Rizici].[hSkupineRiziciOsiguranja].[Rizik].&amp;[70]"/>
    <s v="[Rizici].[hSkupineRiziciOsiguranja].[Rizik].&amp;[66]"/>
    <s v="[Rizici].[hSkupineRiziciOsiguranja].[Rizik].&amp;[62]"/>
    <s v="[Rizici].[hSkupineRiziciOsiguranja].[Rizik].&amp;[55]"/>
    <s v="[Rizici].[hSkupineRiziciOsiguranja].[Rizik].&amp;[49]"/>
    <s v="[Rizici].[hSkupineRiziciOsiguranja].[Rizik].&amp;[46]"/>
    <s v="[Rizici].[hSkupineRiziciOsiguranja].[Rizik].&amp;[42]"/>
    <s v="[Rizici].[hSkupineRiziciOsiguranja].[Rizik].&amp;[38]"/>
    <s v="[Rizici].[hSkupineRiziciOsiguranja].[Rizik].&amp;[35]"/>
    <s v="[Rizici].[hSkupineRiziciOsiguranja].[Rizik].&amp;[32]"/>
    <s v="[Rizici].[hSkupineRiziciOsiguranja].[Rizik].&amp;[28]"/>
    <s v="[Rizici].[hSkupineRiziciOsiguranja].[Rizik].&amp;[25]"/>
    <s v="[Rizici].[hSkupineRiziciOsiguranja].[Rizik].&amp;[19]"/>
    <s v="[Rizici].[hSkupineRiziciOsiguranja].[Rizik].&amp;[16]"/>
    <s v="[Rizici].[hSkupineRiziciOsiguranja].[Rizik].&amp;[12]"/>
    <s v="[Rizici].[hSkupineRiziciOsiguranja].[Rizik].&amp;[8]"/>
    <s v="[Rizici].[hSkupineRiziciOsiguranja].[Rizik].&amp;[4]"/>
    <s v="[Rizici].[hSkupineRiziciOsiguranja].[Vrsta osiguranja].&amp;[25]"/>
    <s v="[Rizici].[hSkupineRiziciOsiguranja].[Vrsta osiguranja].&amp;[24]"/>
    <s v="[Rizici].[hSkupineRiziciOsiguranja].[Rizik].&amp;[119]"/>
    <s v="[Rizici].[hSkupineRiziciOsiguranja].[Rizik].&amp;[117]"/>
    <s v="[Rizici].[hSkupineRiziciOsiguranja].[Vrsta osiguranja].&amp;[23]"/>
    <s v="[Rizici].[hSkupineRiziciOsiguranja].[Vrsta osiguranja].&amp;[22]"/>
    <s v="[Rizici].[hSkupineRiziciOsiguranja].[Rizik].&amp;[113]"/>
    <s v="[Rizici].[hSkupineRiziciOsiguranja].[Vrsta osiguranja].&amp;[21]"/>
    <s v="[Rizici].[hSkupineRiziciOsiguranja].[Rizik].&amp;[110]"/>
    <s v="[Rizici].[hSkupineRiziciOsiguranja].[Vrsta osiguranja].&amp;[20]"/>
    <s v="[Rizici].[hSkupineRiziciOsiguranja].[Rizik].&amp;[100]"/>
    <s v="[Rizici].[hSkupineRiziciOsiguranja].[Rizik].&amp;[98]"/>
    <s v="[Rizici].[hSkupineRiziciOsiguranja].[Rizik].&amp;[96]"/>
    <s v="[Rizici].[hSkupineRiziciOsiguranja].[Rizik].&amp;[122]"/>
    <s v="[Rizici].[hSkupineRiziciOsiguranja].[Rizik].&amp;[121]"/>
    <s v="[Rizici].[hSkupineRiziciOsiguranja].[Rizik].&amp;[120]"/>
    <s v="[Rizici].[hSkupineRiziciOsiguranja].[Rizik].&amp;[118]"/>
    <s v="[Rizici].[hSkupineRiziciOsiguranja].[Rizik].&amp;[116]"/>
    <s v="[Rizici].[hSkupineRiziciOsiguranja].[Rizik].&amp;[115]"/>
    <s v="[Rizici].[hSkupineRiziciOsiguranja].[Rizik].&amp;[114]"/>
    <s v="[Rizici].[hSkupineRiziciOsiguranja].[Rizik].&amp;[112]"/>
    <s v="[Rizici].[hSkupineRiziciOsiguranja].[Rizik].&amp;[111]"/>
    <s v="[Rizici].[hSkupineRiziciOsiguranja].[Rizik].&amp;[109]"/>
    <s v="[Rizici].[hSkupineRiziciOsiguranja].[Rizik].&amp;[108]"/>
    <s v="[Rizici].[hSkupineRiziciOsiguranja].[Rizik].&amp;[99]"/>
    <s v="[Rizici].[hSkupineRiziciOsiguranja].[Rizik].&amp;[97]"/>
    <s v="[Rizici].[hSkupineRiziciOsiguranja].[Vrsta osiguranja].&amp;[19]"/>
    <s v="[Društva].[Hierarchy].[All]"/>
    <s v="[Društva].[Hierarchy].[Društvo].&amp;[197]"/>
    <s v="[Godina Podatka].[Godina podatka].&amp;[2013]"/>
    <s v="{[Učestalost podataka].[Učestalost podatka].&amp;[7],[Učestalost podataka].[Učestalost podatka].&amp;[8]}"/>
    <s v="[Measures].[Broj novih osiguranja s višekratnim plaćanjem premije]"/>
    <s v="[Measures].[Broj novih osiguranja s jednokratnim plaćanjem premije]"/>
    <s v="[Measures].[Zaračunata bruto premija novih osiguranja s višekratnim plaćanjem premije]"/>
    <s v="[Measures].[Zaračunata bruto premija novih osiguranja s jednokratnim plaćanjem premije]"/>
    <s v="\\tesla\Home\mpremor\Dokumenti\My Data Sources\hvar HUOBI RH Statistika"/>
    <s v="[Podvrste osiguranja].[hPodvrsteOsiguranja].[Vrsta osiguranja].&amp;[25]"/>
    <s v="[Podvrste osiguranja].[hPodvrsteOsiguranja].[Rizik].&amp;[119]"/>
    <s v="[Podvrste osiguranja].[hPodvrsteOsiguranja].[Vrsta osiguranja].&amp;[23]"/>
    <s v="[Podvrste osiguranja].[hPodvrsteOsiguranja].[Rizik].&amp;[113]"/>
    <s v="[Podvrste osiguranja].[hPodvrsteOsiguranja].[Rizik].&amp;[110]"/>
    <s v="[Podvrste osiguranja].[hPodvrsteOsiguranja].[Rizik].&amp;[100]"/>
    <s v="[Podvrste osiguranja].[hPodvrsteOsiguranja].[Rizik].&amp;[96]"/>
    <s v="[Podvrste osiguranja].[hPodvrsteOsiguranja].[Rizik].&amp;[121]"/>
    <s v="[Podvrste osiguranja].[hPodvrsteOsiguranja].[Rizik].&amp;[115]"/>
    <s v="[Podvrste osiguranja].[hPodvrsteOsiguranja].[Rizik].&amp;[109]"/>
    <s v="[Podvrste osiguranja].[hPodvrsteOsiguranja].[Rizik].&amp;[99]"/>
    <s v="[Podvrste osiguranja].[hPodvrsteOsiguranja].[Sve]"/>
    <s v="[Podvrste osiguranja].[hPodvrsteOsiguranja].[Rizik].&amp;[117]"/>
    <s v="[Podvrste osiguranja].[hPodvrsteOsiguranja].[Vrsta osiguranja].&amp;[21]"/>
    <s v="[Podvrste osiguranja].[hPodvrsteOsiguranja].[Rizik].&amp;[98]"/>
    <s v="[Podvrste osiguranja].[hPodvrsteOsiguranja].[Rizik].&amp;[122]"/>
    <s v="[Podvrste osiguranja].[hPodvrsteOsiguranja].[Rizik].&amp;[116]"/>
    <s v="[Podvrste osiguranja].[hPodvrsteOsiguranja].[Rizik].&amp;[111]"/>
    <s v="[Podvrste osiguranja].[hPodvrsteOsiguranja].[Rizik].&amp;[97]"/>
    <s v="[Podvrste osiguranja].[hPodvrsteOsiguranja].[Rizik].&amp;[118]"/>
    <s v="[Podvrste osiguranja].[hPodvrsteOsiguranja].[Rizik].&amp;[112]"/>
    <s v="[Podvrste osiguranja].[hPodvrsteOsiguranja].[Vrsta osiguranja].&amp;[19]"/>
    <s v="[Podvrste osiguranja].[hPodvrsteOsiguranja].[Vrsta osiguranja].&amp;[24]"/>
    <s v="[Podvrste osiguranja].[hPodvrsteOsiguranja].[Vrsta osiguranja].&amp;[22]"/>
    <s v="[Podvrste osiguranja].[hPodvrsteOsiguranja].[Vrsta osiguranja].&amp;[20]"/>
    <s v="[Podvrste osiguranja].[hPodvrsteOsiguranja].[Skupina osiguranja].&amp;[2]"/>
    <s v="[Podvrste osiguranja].[hPodvrsteOsiguranja].[Rizik].&amp;[120]"/>
    <s v="[Podvrste osiguranja].[hPodvrsteOsiguranja].[Rizik].&amp;[114]"/>
    <s v="[Podvrste osiguranja].[hPodvrsteOsiguranja].[Rizik].&amp;[108]"/>
    <s v="[Godina Podatka].[Godina podatka].&amp;[2014]"/>
    <s v="{[Učestalost podataka].[Učestalost podatka].&amp;[11],[Učestalost podataka].[Učestalost podatka].&amp;[12],[Učestalost podataka].[Učestalost podatka].&amp;[13],[Učestalost podataka].[Učestalost podatka].&amp;[14],[Učestalost podataka].[Učestalost podatka].&amp;[15],[Učestalost podataka].[Učestalost podatka].&amp;[16],[Učestalost podataka].[Učestalost podatka].&amp;[17],[Učestalost podataka].[Učestalost podatka].&amp;[18],[Učestalost podataka].[Učestalost podatka].&amp;[19]}"/>
  </metadataStrings>
  <mdxMetadata count="196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v">
      <t c="1" si="33">
        <n x="30"/>
      </t>
    </mdx>
    <mdx n="0" f="v">
      <t c="1" si="29">
        <n x="31"/>
      </t>
    </mdx>
    <mdx n="0" f="v">
      <t c="1" si="33">
        <n x="32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m">
      <t c="1">
        <n x="61"/>
      </t>
    </mdx>
    <mdx n="0" f="m">
      <t c="1">
        <n x="62"/>
      </t>
    </mdx>
    <mdx n="0" f="m">
      <t c="1">
        <n x="63"/>
      </t>
    </mdx>
    <mdx n="0" f="m">
      <t c="1">
        <n x="64"/>
      </t>
    </mdx>
    <mdx n="0" f="m">
      <t c="1">
        <n x="65"/>
      </t>
    </mdx>
    <mdx n="0" f="m">
      <t c="1">
        <n x="66"/>
      </t>
    </mdx>
    <mdx n="0" f="m">
      <t c="1">
        <n x="67"/>
      </t>
    </mdx>
    <mdx n="0" f="m">
      <t c="1">
        <n x="68"/>
      </t>
    </mdx>
    <mdx n="0" f="m">
      <t c="1">
        <n x="69"/>
      </t>
    </mdx>
    <mdx n="0" f="m">
      <t c="1">
        <n x="70"/>
      </t>
    </mdx>
    <mdx n="0" f="m">
      <t c="1">
        <n x="71"/>
      </t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m">
      <t c="1">
        <n x="77"/>
      </t>
    </mdx>
    <mdx n="0" f="m">
      <t c="1">
        <n x="78"/>
      </t>
    </mdx>
    <mdx n="0" f="m">
      <t c="1">
        <n x="79"/>
      </t>
    </mdx>
    <mdx n="0" f="m">
      <t c="1">
        <n x="80"/>
      </t>
    </mdx>
    <mdx n="0" f="m">
      <t c="1">
        <n x="81"/>
      </t>
    </mdx>
    <mdx n="0" f="m">
      <t c="1">
        <n x="82"/>
      </t>
    </mdx>
    <mdx n="0" f="m">
      <t c="1">
        <n x="83"/>
      </t>
    </mdx>
    <mdx n="0" f="m">
      <t c="1">
        <n x="84"/>
      </t>
    </mdx>
    <mdx n="0" f="m">
      <t c="1">
        <n x="85"/>
      </t>
    </mdx>
    <mdx n="0" f="m">
      <t c="1">
        <n x="86"/>
      </t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m">
      <t c="1">
        <n x="95"/>
      </t>
    </mdx>
    <mdx n="0" f="m">
      <t c="1">
        <n x="96"/>
      </t>
    </mdx>
    <mdx n="0" f="m">
      <t c="1">
        <n x="97"/>
      </t>
    </mdx>
    <mdx n="0" f="m">
      <t c="1">
        <n x="98"/>
      </t>
    </mdx>
    <mdx n="0" f="m">
      <t c="1">
        <n x="99"/>
      </t>
    </mdx>
    <mdx n="0" f="m">
      <t c="1">
        <n x="100"/>
      </t>
    </mdx>
    <mdx n="0" f="m">
      <t c="1">
        <n x="101"/>
      </t>
    </mdx>
    <mdx n="0" f="m">
      <t c="1">
        <n x="102"/>
      </t>
    </mdx>
    <mdx n="0" f="m">
      <t c="1">
        <n x="103"/>
      </t>
    </mdx>
    <mdx n="0" f="m">
      <t c="1">
        <n x="104"/>
      </t>
    </mdx>
    <mdx n="0" f="m">
      <t c="1">
        <n x="105"/>
      </t>
    </mdx>
    <mdx n="0" f="m">
      <t c="1">
        <n x="106"/>
      </t>
    </mdx>
    <mdx n="0" f="m">
      <t c="1">
        <n x="107"/>
      </t>
    </mdx>
    <mdx n="0" f="m">
      <t c="1">
        <n x="108"/>
      </t>
    </mdx>
    <mdx n="0" f="m">
      <t c="1">
        <n x="109"/>
      </t>
    </mdx>
    <mdx n="0" f="m">
      <t c="1">
        <n x="110"/>
      </t>
    </mdx>
    <mdx n="0" f="m">
      <t c="1">
        <n x="111"/>
      </t>
    </mdx>
    <mdx n="0" f="m">
      <t c="1">
        <n x="112"/>
      </t>
    </mdx>
    <mdx n="0" f="m">
      <t c="1">
        <n x="113"/>
      </t>
    </mdx>
    <mdx n="0" f="m">
      <t c="1">
        <n x="114"/>
      </t>
    </mdx>
    <mdx n="0" f="m">
      <t c="1">
        <n x="115"/>
      </t>
    </mdx>
    <mdx n="0" f="m">
      <t c="1">
        <n x="116"/>
      </t>
    </mdx>
    <mdx n="0" f="m">
      <t c="1">
        <n x="117"/>
      </t>
    </mdx>
    <mdx n="0" f="m">
      <t c="1">
        <n x="118"/>
      </t>
    </mdx>
    <mdx n="0" f="m">
      <t c="1">
        <n x="119"/>
      </t>
    </mdx>
    <mdx n="0" f="m">
      <t c="1">
        <n x="120"/>
      </t>
    </mdx>
    <mdx n="0" f="m">
      <t c="1">
        <n x="121"/>
      </t>
    </mdx>
    <mdx n="0" f="m">
      <t c="1">
        <n x="122"/>
      </t>
    </mdx>
    <mdx n="0" f="m">
      <t c="1">
        <n x="123"/>
      </t>
    </mdx>
    <mdx n="0" f="m">
      <t c="1">
        <n x="124"/>
      </t>
    </mdx>
    <mdx n="0" f="m">
      <t c="1">
        <n x="125"/>
      </t>
    </mdx>
    <mdx n="0" f="m">
      <t c="1">
        <n x="126"/>
      </t>
    </mdx>
    <mdx n="0" f="m">
      <t c="1">
        <n x="127"/>
      </t>
    </mdx>
    <mdx n="0" f="m">
      <t c="1">
        <n x="128"/>
      </t>
    </mdx>
    <mdx n="0" f="m">
      <t c="1">
        <n x="129"/>
      </t>
    </mdx>
    <mdx n="0" f="m">
      <t c="1">
        <n x="130"/>
      </t>
    </mdx>
    <mdx n="0" f="m">
      <t c="1">
        <n x="131"/>
      </t>
    </mdx>
    <mdx n="0" f="m">
      <t c="1">
        <n x="132"/>
      </t>
    </mdx>
    <mdx n="0" f="m">
      <t c="1">
        <n x="133"/>
      </t>
    </mdx>
    <mdx n="0" f="m">
      <t c="1">
        <n x="134"/>
      </t>
    </mdx>
    <mdx n="0" f="m">
      <t c="1">
        <n x="135"/>
      </t>
    </mdx>
    <mdx n="0" f="m">
      <t c="1">
        <n x="136"/>
      </t>
    </mdx>
    <mdx n="0" f="m">
      <t c="1">
        <n x="137"/>
      </t>
    </mdx>
    <mdx n="0" f="m">
      <t c="1">
        <n x="138"/>
      </t>
    </mdx>
    <mdx n="0" f="m">
      <t c="1">
        <n x="139"/>
      </t>
    </mdx>
    <mdx n="0" f="m">
      <t c="1">
        <n x="140"/>
      </t>
    </mdx>
    <mdx n="0" f="m">
      <t c="1">
        <n x="141"/>
      </t>
    </mdx>
    <mdx n="0" f="m">
      <t c="1">
        <n x="142"/>
      </t>
    </mdx>
    <mdx n="0" f="m">
      <t c="1">
        <n x="143"/>
      </t>
    </mdx>
    <mdx n="0" f="m">
      <t c="1">
        <n x="144"/>
      </t>
    </mdx>
    <mdx n="0" f="m">
      <t c="1">
        <n x="145"/>
      </t>
    </mdx>
    <mdx n="0" f="m">
      <t c="1">
        <n x="146"/>
      </t>
    </mdx>
    <mdx n="0" f="m">
      <t c="1">
        <n x="147"/>
      </t>
    </mdx>
    <mdx n="0" f="m">
      <t c="1">
        <n x="148"/>
      </t>
    </mdx>
    <mdx n="0" f="m">
      <t c="1">
        <n x="149"/>
      </t>
    </mdx>
    <mdx n="0" f="m">
      <t c="1">
        <n x="150"/>
      </t>
    </mdx>
    <mdx n="0" f="m">
      <t c="1">
        <n x="151"/>
      </t>
    </mdx>
    <mdx n="0" f="m">
      <t c="1">
        <n x="152"/>
      </t>
    </mdx>
    <mdx n="0" f="m">
      <t c="1">
        <n x="153"/>
      </t>
    </mdx>
    <mdx n="0" f="m">
      <t c="1">
        <n x="154"/>
      </t>
    </mdx>
    <mdx n="0" f="m">
      <t c="1">
        <n x="155"/>
      </t>
    </mdx>
    <mdx n="0" f="m">
      <t c="1">
        <n x="156"/>
      </t>
    </mdx>
    <mdx n="0" f="m">
      <t c="1">
        <n x="157"/>
      </t>
    </mdx>
    <mdx n="0" f="m">
      <t c="1">
        <n x="158"/>
      </t>
    </mdx>
    <mdx n="0" f="m">
      <t c="1">
        <n x="159"/>
      </t>
    </mdx>
    <mdx n="0" f="m">
      <t c="1">
        <n x="160"/>
      </t>
    </mdx>
    <mdx n="0" f="m">
      <t c="1">
        <n x="161"/>
      </t>
    </mdx>
    <mdx n="0" f="m">
      <t c="1">
        <n x="162"/>
      </t>
    </mdx>
    <mdx n="0" f="m">
      <t c="1">
        <n x="163"/>
      </t>
    </mdx>
    <mdx n="0" f="m">
      <t c="1">
        <n x="164"/>
      </t>
    </mdx>
    <mdx n="0" f="m">
      <t c="1">
        <n x="165"/>
      </t>
    </mdx>
    <mdx n="0" f="m">
      <t c="1">
        <n x="166"/>
      </t>
    </mdx>
    <mdx n="0" f="m">
      <t c="1">
        <n x="167"/>
      </t>
    </mdx>
    <mdx n="0" f="m">
      <t c="1">
        <n x="168"/>
      </t>
    </mdx>
    <mdx n="0" f="m">
      <t c="1">
        <n x="169"/>
      </t>
    </mdx>
    <mdx n="0" f="m">
      <t c="1">
        <n x="170"/>
      </t>
    </mdx>
    <mdx n="0" f="m">
      <t c="1">
        <n x="171"/>
      </t>
    </mdx>
    <mdx n="0" f="m">
      <t c="1">
        <n x="172"/>
      </t>
    </mdx>
    <mdx n="0" f="m">
      <t c="1">
        <n x="173"/>
      </t>
    </mdx>
    <mdx n="0" f="m">
      <t c="1">
        <n x="174"/>
      </t>
    </mdx>
    <mdx n="0" f="m">
      <t c="1">
        <n x="17"/>
      </t>
    </mdx>
    <mdx n="0" f="m">
      <t c="1">
        <n x="175"/>
      </t>
    </mdx>
    <mdx n="0" f="m">
      <t c="1">
        <n x="176"/>
      </t>
    </mdx>
    <mdx n="0" f="m">
      <t c="1">
        <n x="177"/>
      </t>
    </mdx>
    <mdx n="0" f="m">
      <t c="1">
        <n x="178"/>
      </t>
    </mdx>
    <mdx n="0" f="m">
      <t c="1">
        <n x="179"/>
      </t>
    </mdx>
    <mdx n="0" f="m">
      <t c="1">
        <n x="180"/>
      </t>
    </mdx>
    <mdx n="0" f="m">
      <t c="1">
        <n x="181"/>
      </t>
    </mdx>
    <mdx n="0" f="m">
      <t c="1">
        <n x="182"/>
      </t>
    </mdx>
    <mdx n="0" f="m">
      <t c="1">
        <n x="183"/>
      </t>
    </mdx>
    <mdx n="0" f="m">
      <t c="1">
        <n x="184"/>
      </t>
    </mdx>
    <mdx n="0" f="m">
      <t c="1">
        <n x="185"/>
      </t>
    </mdx>
    <mdx n="0" f="m">
      <t c="1">
        <n x="186"/>
      </t>
    </mdx>
    <mdx n="0" f="m">
      <t c="1">
        <n x="187"/>
      </t>
    </mdx>
    <mdx n="0" f="m">
      <t c="1">
        <n x="188"/>
      </t>
    </mdx>
    <mdx n="0" f="m">
      <t c="1">
        <n x="189"/>
      </t>
    </mdx>
    <mdx n="0" f="m">
      <t c="1">
        <n x="190"/>
      </t>
    </mdx>
    <mdx n="0" f="m">
      <t c="1">
        <n x="191"/>
      </t>
    </mdx>
    <mdx n="0" f="m">
      <t c="1">
        <n x="192"/>
      </t>
    </mdx>
    <mdx n="0" f="m">
      <t c="1">
        <n x="193"/>
      </t>
    </mdx>
    <mdx n="0" f="m">
      <t c="1">
        <n x="194"/>
      </t>
    </mdx>
    <mdx n="0" f="m">
      <t c="1">
        <n x="195"/>
      </t>
    </mdx>
    <mdx n="0" f="m">
      <t c="1">
        <n x="196"/>
      </t>
    </mdx>
    <mdx n="0" f="m">
      <t c="1">
        <n x="197"/>
      </t>
    </mdx>
    <mdx n="0" f="m">
      <t c="1">
        <n x="198"/>
      </t>
    </mdx>
    <mdx n="0" f="m">
      <t c="1">
        <n x="199"/>
      </t>
    </mdx>
    <mdx n="0" f="m">
      <t c="1">
        <n x="200"/>
      </t>
    </mdx>
    <mdx n="0" f="m">
      <t c="1">
        <n x="201"/>
      </t>
    </mdx>
    <mdx n="0" f="v">
      <t c="2" si="29">
        <n x="44"/>
        <n x="17"/>
      </t>
    </mdx>
    <mdx n="0" f="v">
      <t c="2" si="29">
        <n x="52"/>
        <n x="17"/>
      </t>
    </mdx>
    <mdx n="0" f="v">
      <t c="2" si="29">
        <n x="45"/>
        <n x="17"/>
      </t>
    </mdx>
    <mdx n="0" f="v">
      <t c="2" si="29">
        <n x="42"/>
        <n x="17"/>
      </t>
    </mdx>
    <mdx n="0" f="v">
      <t c="2" si="29">
        <n x="46"/>
        <n x="17"/>
      </t>
    </mdx>
    <mdx n="0" f="v">
      <t c="2" si="29">
        <n x="53"/>
        <n x="17"/>
      </t>
    </mdx>
    <mdx n="0" f="v">
      <t c="2" si="29">
        <n x="47"/>
        <n x="17"/>
      </t>
    </mdx>
    <mdx n="0" f="v">
      <t c="2" si="29">
        <n x="54"/>
        <n x="17"/>
      </t>
    </mdx>
    <mdx n="0" f="v">
      <t c="2" si="29">
        <n x="48"/>
        <n x="17"/>
      </t>
    </mdx>
    <mdx n="0" f="v">
      <t c="2" si="29">
        <n x="43"/>
        <n x="17"/>
      </t>
    </mdx>
    <mdx n="0" f="v">
      <t c="2" si="29">
        <n x="51"/>
        <n x="17"/>
      </t>
    </mdx>
    <mdx n="0" f="v">
      <t c="2" si="29">
        <n x="39"/>
        <n x="17"/>
      </t>
    </mdx>
    <mdx n="0" f="v">
      <t c="2" si="29">
        <n x="41"/>
        <n x="17"/>
      </t>
    </mdx>
    <mdx n="0" f="v">
      <t c="2" si="29">
        <n x="38"/>
        <n x="17"/>
      </t>
    </mdx>
    <mdx n="0" f="v">
      <t c="2" si="29">
        <n x="50"/>
        <n x="17"/>
      </t>
    </mdx>
    <mdx n="0" f="v">
      <t c="2" si="29">
        <n x="37"/>
        <n x="17"/>
      </t>
    </mdx>
    <mdx n="0" f="v">
      <t c="2" si="29">
        <n x="40"/>
        <n x="17"/>
      </t>
    </mdx>
    <mdx n="0" f="v">
      <t c="2" si="29">
        <n x="36"/>
        <n x="17"/>
      </t>
    </mdx>
    <mdx n="0" f="v">
      <t c="2" si="29">
        <n x="49"/>
        <n x="17"/>
      </t>
    </mdx>
    <mdx n="0" f="v">
      <t c="2" si="29">
        <n x="35"/>
        <n x="17"/>
      </t>
    </mdx>
    <mdx n="0" f="v">
      <t c="2" si="29">
        <n x="34"/>
        <n x="17"/>
      </t>
    </mdx>
    <mdx n="0" f="v">
      <t c="2" si="29">
        <n x="175"/>
        <n x="17"/>
      </t>
    </mdx>
    <mdx n="0" f="v">
      <t c="2" si="29">
        <n x="176"/>
        <n x="17"/>
      </t>
    </mdx>
    <mdx n="0" f="v">
      <t c="2" si="29">
        <n x="177"/>
        <n x="17"/>
      </t>
    </mdx>
    <mdx n="0" f="v">
      <t c="2" si="29">
        <n x="178"/>
        <n x="17"/>
      </t>
    </mdx>
    <mdx n="0" f="v">
      <t c="2" si="29">
        <n x="179"/>
        <n x="17"/>
      </t>
    </mdx>
    <mdx n="0" f="v">
      <t c="2" si="29">
        <n x="180"/>
        <n x="17"/>
      </t>
    </mdx>
    <mdx n="0" f="v">
      <t c="2" si="29">
        <n x="181"/>
        <n x="17"/>
      </t>
    </mdx>
    <mdx n="0" f="v">
      <t c="2" si="29">
        <n x="182"/>
        <n x="17"/>
      </t>
    </mdx>
    <mdx n="0" f="v">
      <t c="2" si="29">
        <n x="183"/>
        <n x="17"/>
      </t>
    </mdx>
    <mdx n="0" f="v">
      <t c="2" si="29">
        <n x="184"/>
        <n x="17"/>
      </t>
    </mdx>
    <mdx n="0" f="v">
      <t c="2" si="29">
        <n x="185"/>
        <n x="17"/>
      </t>
    </mdx>
    <mdx n="0" f="v">
      <t c="2" si="29">
        <n x="186"/>
        <n x="17"/>
      </t>
    </mdx>
    <mdx n="0" f="v">
      <t c="2" si="29">
        <n x="187"/>
        <n x="17"/>
      </t>
    </mdx>
    <mdx n="0" f="v">
      <t c="2" si="29">
        <n x="188"/>
        <n x="17"/>
      </t>
    </mdx>
    <mdx n="0" f="v">
      <t c="2" si="29">
        <n x="189"/>
        <n x="17"/>
      </t>
    </mdx>
    <mdx n="0" f="v">
      <t c="2" si="29">
        <n x="190"/>
        <n x="17"/>
      </t>
    </mdx>
    <mdx n="0" f="v">
      <t c="2" si="29">
        <n x="191"/>
        <n x="17"/>
      </t>
    </mdx>
    <mdx n="0" f="v">
      <t c="2" si="29">
        <n x="192"/>
        <n x="17"/>
      </t>
    </mdx>
    <mdx n="0" f="v">
      <t c="2" si="29">
        <n x="193"/>
        <n x="17"/>
      </t>
    </mdx>
    <mdx n="0" f="v">
      <t c="2" si="29">
        <n x="194"/>
        <n x="17"/>
      </t>
    </mdx>
    <mdx n="0" f="v">
      <t c="2" si="29">
        <n x="195"/>
        <n x="17"/>
      </t>
    </mdx>
    <mdx n="0" f="v">
      <t c="2" si="29">
        <n x="196"/>
        <n x="17"/>
      </t>
    </mdx>
    <mdx n="0" f="v">
      <t c="2" si="29">
        <n x="197"/>
        <n x="17"/>
      </t>
    </mdx>
    <mdx n="0" f="v">
      <t c="2" si="29">
        <n x="198"/>
        <n x="17"/>
      </t>
    </mdx>
    <mdx n="0" f="v">
      <t c="2" si="29">
        <n x="199"/>
        <n x="17"/>
      </t>
    </mdx>
    <mdx n="0" f="v">
      <t c="2" si="29">
        <n x="200"/>
        <n x="17"/>
      </t>
    </mdx>
    <mdx n="0" f="v">
      <t c="2" si="29">
        <n x="201"/>
        <n x="17"/>
      </t>
    </mdx>
    <mdx n="0" f="m">
      <t c="1">
        <n x="202"/>
      </t>
    </mdx>
    <mdx n="0" f="m">
      <t c="1">
        <n x="203"/>
      </t>
    </mdx>
    <mdx n="210" f="s">
      <ms ns="205" c="0"/>
    </mdx>
    <mdx n="210" f="m">
      <t c="1">
        <n x="211"/>
      </t>
    </mdx>
    <mdx n="210" f="m">
      <t c="1">
        <n x="212"/>
      </t>
    </mdx>
    <mdx n="210" f="m">
      <t c="1">
        <n x="213"/>
      </t>
    </mdx>
    <mdx n="210" f="m">
      <t c="1">
        <n x="214"/>
      </t>
    </mdx>
    <mdx n="210" f="m">
      <t c="1">
        <n x="215"/>
      </t>
    </mdx>
    <mdx n="210" f="m">
      <t c="1">
        <n x="216"/>
      </t>
    </mdx>
    <mdx n="210" f="m">
      <t c="1">
        <n x="217"/>
      </t>
    </mdx>
    <mdx n="210" f="m">
      <t c="1">
        <n x="207"/>
      </t>
    </mdx>
    <mdx n="210" f="m">
      <t c="1">
        <n x="218"/>
      </t>
    </mdx>
    <mdx n="210" f="m">
      <t c="1">
        <n x="219"/>
      </t>
    </mdx>
    <mdx n="210" f="m">
      <t c="1">
        <n x="220"/>
      </t>
    </mdx>
    <mdx n="210" f="m">
      <t c="1">
        <n x="221"/>
      </t>
    </mdx>
    <mdx n="210" f="m">
      <t c="1">
        <n x="208"/>
      </t>
    </mdx>
    <mdx n="210" f="m">
      <t c="1">
        <n x="222"/>
      </t>
    </mdx>
    <mdx n="210" f="m">
      <t c="1">
        <n x="223"/>
      </t>
    </mdx>
    <mdx n="210" f="m">
      <t c="1">
        <n x="224"/>
      </t>
    </mdx>
    <mdx n="210" f="m">
      <t c="1">
        <n x="225"/>
      </t>
    </mdx>
    <mdx n="210" f="m">
      <t c="1">
        <n x="209"/>
      </t>
    </mdx>
    <mdx n="210" f="m">
      <t c="1">
        <n x="226"/>
      </t>
    </mdx>
    <mdx n="210" f="m">
      <t c="1">
        <n x="227"/>
      </t>
    </mdx>
    <mdx n="210" f="m">
      <t c="1">
        <n x="228"/>
      </t>
    </mdx>
    <mdx n="210" f="m">
      <t c="1">
        <n x="229"/>
      </t>
    </mdx>
    <mdx n="210" f="m">
      <t c="1">
        <n x="206"/>
      </t>
    </mdx>
    <mdx n="210" f="m">
      <t c="1">
        <n x="230"/>
      </t>
    </mdx>
    <mdx n="210" f="m">
      <t c="1">
        <n x="231"/>
      </t>
    </mdx>
    <mdx n="210" f="m">
      <t c="1">
        <n x="232"/>
      </t>
    </mdx>
    <mdx n="210" f="m">
      <t c="1">
        <n x="233"/>
      </t>
    </mdx>
    <mdx n="210" f="m">
      <t c="1">
        <n x="234"/>
      </t>
    </mdx>
    <mdx n="210" f="m">
      <t c="1">
        <n x="235"/>
      </t>
    </mdx>
    <mdx n="210" f="m">
      <t c="1">
        <n x="236"/>
      </t>
    </mdx>
    <mdx n="210" f="m">
      <t c="1">
        <n x="237"/>
      </t>
    </mdx>
    <mdx n="210" f="m">
      <t c="1">
        <n x="238"/>
      </t>
    </mdx>
    <mdx n="210" f="m">
      <t c="1">
        <n x="239"/>
      </t>
    </mdx>
    <mdx n="210" f="m">
      <t c="1">
        <n x="204"/>
      </t>
    </mdx>
    <mdx n="210" f="v">
      <t c="4" si="33">
        <n x="205" s="1"/>
        <n x="204"/>
        <n x="236"/>
        <n x="206"/>
      </t>
    </mdx>
    <mdx n="210" f="v">
      <t c="4" si="33">
        <n x="205" s="1"/>
        <n x="204"/>
        <n x="232"/>
        <n x="206"/>
      </t>
    </mdx>
    <mdx n="210" f="v">
      <t c="4" si="33">
        <n x="205" s="1"/>
        <n x="204"/>
        <n x="217"/>
        <n x="206"/>
      </t>
    </mdx>
    <mdx n="210" f="v">
      <t c="4" si="33">
        <n x="205" s="1"/>
        <n x="204"/>
        <n x="229"/>
        <n x="206"/>
      </t>
    </mdx>
    <mdx n="210" f="v">
      <t c="4" si="33">
        <n x="205" s="1"/>
        <n x="204"/>
        <n x="225"/>
        <n x="206"/>
      </t>
    </mdx>
    <mdx n="210" f="v">
      <t c="4" si="33">
        <n x="205" s="1"/>
        <n x="204"/>
        <n x="221"/>
        <n x="206"/>
      </t>
    </mdx>
    <mdx n="210" f="v">
      <t c="4" si="33">
        <n x="205" s="1"/>
        <n x="204"/>
        <n x="216"/>
        <n x="206"/>
      </t>
    </mdx>
    <mdx n="210" f="v">
      <t c="4" si="33">
        <n x="205" s="1"/>
        <n x="204"/>
        <n x="239"/>
        <n x="206"/>
      </t>
    </mdx>
    <mdx n="210" f="v">
      <t c="4" si="33">
        <n x="205" s="1"/>
        <n x="204"/>
        <n x="235"/>
        <n x="206"/>
      </t>
    </mdx>
    <mdx n="210" f="v">
      <t c="4" si="33">
        <n x="205" s="1"/>
        <n x="204"/>
        <n x="220"/>
        <n x="206"/>
      </t>
    </mdx>
    <mdx n="210" f="v">
      <t c="4" si="33">
        <n x="205" s="1"/>
        <n x="204"/>
        <n x="215"/>
        <n x="206"/>
      </t>
    </mdx>
    <mdx n="210" f="v">
      <t c="4" si="33">
        <n x="205" s="1"/>
        <n x="204"/>
        <n x="228"/>
        <n x="206"/>
      </t>
    </mdx>
    <mdx n="210" f="v">
      <t c="4" si="33">
        <n x="205" s="1"/>
        <n x="204"/>
        <n x="224"/>
        <n x="206"/>
      </t>
    </mdx>
    <mdx n="210" f="v">
      <t c="4" si="33">
        <n x="205" s="1"/>
        <n x="204"/>
        <n x="231"/>
        <n x="206"/>
      </t>
    </mdx>
    <mdx n="210" f="v">
      <t c="4" si="33">
        <n x="205" s="1"/>
        <n x="204"/>
        <n x="214"/>
        <n x="206"/>
      </t>
    </mdx>
    <mdx n="210" f="v">
      <t c="4" si="33">
        <n x="205" s="1"/>
        <n x="204"/>
        <n x="238"/>
        <n x="206"/>
      </t>
    </mdx>
    <mdx n="210" f="v">
      <t c="4" si="33">
        <n x="205" s="1"/>
        <n x="204"/>
        <n x="234"/>
        <n x="206"/>
      </t>
    </mdx>
    <mdx n="210" f="v">
      <t c="4" si="33">
        <n x="205" s="1"/>
        <n x="204"/>
        <n x="219"/>
        <n x="206"/>
      </t>
    </mdx>
    <mdx n="210" f="v">
      <t c="4" si="33">
        <n x="205" s="1"/>
        <n x="204"/>
        <n x="213"/>
        <n x="206"/>
      </t>
    </mdx>
    <mdx n="210" f="v">
      <t c="4" si="33">
        <n x="205" s="1"/>
        <n x="204"/>
        <n x="227"/>
        <n x="206"/>
      </t>
    </mdx>
    <mdx n="210" f="v">
      <t c="4" si="33">
        <n x="205" s="1"/>
        <n x="204"/>
        <n x="223"/>
        <n x="206"/>
      </t>
    </mdx>
    <mdx n="210" f="v">
      <t c="4" si="33">
        <n x="205" s="1"/>
        <n x="204"/>
        <n x="230"/>
        <n x="206"/>
      </t>
    </mdx>
    <mdx n="210" f="v">
      <t c="4" si="33">
        <n x="205" s="1"/>
        <n x="204"/>
        <n x="212"/>
        <n x="206"/>
      </t>
    </mdx>
    <mdx n="210" f="v">
      <t c="4" si="33">
        <n x="205" s="1"/>
        <n x="204"/>
        <n x="237"/>
        <n x="206"/>
      </t>
    </mdx>
    <mdx n="210" f="v">
      <t c="4" si="33">
        <n x="205" s="1"/>
        <n x="204"/>
        <n x="233"/>
        <n x="206"/>
      </t>
    </mdx>
    <mdx n="210" f="v">
      <t c="4" si="33">
        <n x="205" s="1"/>
        <n x="204"/>
        <n x="218"/>
        <n x="206"/>
      </t>
    </mdx>
    <mdx n="210" f="v">
      <t c="4" si="33">
        <n x="205" s="1"/>
        <n x="204"/>
        <n x="211"/>
        <n x="206"/>
      </t>
    </mdx>
    <mdx n="210" f="v">
      <t c="4" si="33">
        <n x="205" s="1"/>
        <n x="204"/>
        <n x="226"/>
        <n x="206"/>
      </t>
    </mdx>
    <mdx n="210" f="v">
      <t c="4" si="33">
        <n x="205" s="1"/>
        <n x="204"/>
        <n x="222"/>
        <n x="206"/>
      </t>
    </mdx>
    <mdx n="210" f="v">
      <t c="4" si="29">
        <n x="205" s="1"/>
        <n x="204"/>
        <n x="236"/>
        <n x="209"/>
      </t>
    </mdx>
    <mdx n="210" f="v">
      <t c="4" si="29">
        <n x="205" s="1"/>
        <n x="204"/>
        <n x="229"/>
        <n x="209"/>
      </t>
    </mdx>
    <mdx n="210" f="v">
      <t c="4" si="29">
        <n x="205" s="1"/>
        <n x="204"/>
        <n x="221"/>
        <n x="209"/>
      </t>
    </mdx>
    <mdx n="210" f="v">
      <t c="4" si="29">
        <n x="205" s="1"/>
        <n x="204"/>
        <n x="239"/>
        <n x="209"/>
      </t>
    </mdx>
    <mdx n="210" f="v">
      <t c="4" si="29">
        <n x="205" s="1"/>
        <n x="204"/>
        <n x="220"/>
        <n x="209"/>
      </t>
    </mdx>
    <mdx n="210" f="v">
      <t c="4" si="29">
        <n x="205" s="1"/>
        <n x="204"/>
        <n x="215"/>
        <n x="209"/>
      </t>
    </mdx>
    <mdx n="210" f="v">
      <t c="4" si="29">
        <n x="205" s="1"/>
        <n x="204"/>
        <n x="224"/>
        <n x="209"/>
      </t>
    </mdx>
    <mdx n="210" f="v">
      <t c="4" si="29">
        <n x="205" s="1"/>
        <n x="204"/>
        <n x="214"/>
        <n x="209"/>
      </t>
    </mdx>
    <mdx n="210" f="v">
      <t c="4" si="29">
        <n x="205" s="1"/>
        <n x="204"/>
        <n x="234"/>
        <n x="209"/>
      </t>
    </mdx>
    <mdx n="210" f="v">
      <t c="4" si="29">
        <n x="205" s="1"/>
        <n x="204"/>
        <n x="213"/>
        <n x="209"/>
      </t>
    </mdx>
    <mdx n="210" f="v">
      <t c="4" si="29">
        <n x="205" s="1"/>
        <n x="204"/>
        <n x="223"/>
        <n x="209"/>
      </t>
    </mdx>
    <mdx n="210" f="v">
      <t c="4" si="29">
        <n x="205" s="1"/>
        <n x="204"/>
        <n x="212"/>
        <n x="209"/>
      </t>
    </mdx>
    <mdx n="210" f="v">
      <t c="4" si="29">
        <n x="205" s="1"/>
        <n x="204"/>
        <n x="233"/>
        <n x="209"/>
      </t>
    </mdx>
    <mdx n="210" f="v">
      <t c="4" si="29">
        <n x="205" s="1"/>
        <n x="204"/>
        <n x="211"/>
        <n x="209"/>
      </t>
    </mdx>
    <mdx n="210" f="v">
      <t c="4" si="29">
        <n x="205" s="1"/>
        <n x="204"/>
        <n x="222"/>
        <n x="209"/>
      </t>
    </mdx>
    <mdx n="210" f="v">
      <t c="4" si="29">
        <n x="205" s="1"/>
        <n x="204"/>
        <n x="236"/>
        <n x="208"/>
      </t>
    </mdx>
    <mdx n="210" f="v">
      <t c="4" si="29">
        <n x="205" s="1"/>
        <n x="204"/>
        <n x="232"/>
        <n x="208"/>
      </t>
    </mdx>
    <mdx n="210" f="v">
      <t c="4" si="29">
        <n x="205" s="1"/>
        <n x="204"/>
        <n x="229"/>
        <n x="208"/>
      </t>
    </mdx>
    <mdx n="210" f="v">
      <t c="4" si="29">
        <n x="205" s="1"/>
        <n x="204"/>
        <n x="221"/>
        <n x="208"/>
      </t>
    </mdx>
    <mdx n="210" f="v">
      <t c="4" si="29">
        <n x="205" s="1"/>
        <n x="204"/>
        <n x="235"/>
        <n x="208"/>
      </t>
    </mdx>
    <mdx n="210" f="v">
      <t c="4" si="29">
        <n x="205" s="1"/>
        <n x="204"/>
        <n x="220"/>
        <n x="208"/>
      </t>
    </mdx>
    <mdx n="210" f="v">
      <t c="4" si="29">
        <n x="205" s="1"/>
        <n x="204"/>
        <n x="228"/>
        <n x="208"/>
      </t>
    </mdx>
    <mdx n="210" f="v">
      <t c="4" si="29">
        <n x="205" s="1"/>
        <n x="204"/>
        <n x="231"/>
        <n x="208"/>
      </t>
    </mdx>
    <mdx n="210" f="v">
      <t c="4" si="29">
        <n x="205" s="1"/>
        <n x="204"/>
        <n x="238"/>
        <n x="208"/>
      </t>
    </mdx>
    <mdx n="210" f="v">
      <t c="4" si="29">
        <n x="205" s="1"/>
        <n x="204"/>
        <n x="219"/>
        <n x="208"/>
      </t>
    </mdx>
    <mdx n="210" f="v">
      <t c="4" si="29">
        <n x="205" s="1"/>
        <n x="204"/>
        <n x="227"/>
        <n x="208"/>
      </t>
    </mdx>
    <mdx n="210" f="v">
      <t c="4" si="29">
        <n x="205" s="1"/>
        <n x="204"/>
        <n x="230"/>
        <n x="208"/>
      </t>
    </mdx>
    <mdx n="210" f="v">
      <t c="4" si="29">
        <n x="205" s="1"/>
        <n x="204"/>
        <n x="212"/>
        <n x="208"/>
      </t>
    </mdx>
    <mdx n="210" f="v">
      <t c="4" si="29">
        <n x="205" s="1"/>
        <n x="204"/>
        <n x="233"/>
        <n x="208"/>
      </t>
    </mdx>
    <mdx n="210" f="v">
      <t c="4" si="29">
        <n x="205" s="1"/>
        <n x="204"/>
        <n x="226"/>
        <n x="208"/>
      </t>
    </mdx>
    <mdx n="210" f="v">
      <t c="4" si="33">
        <n x="205" s="1"/>
        <n x="204"/>
        <n x="236"/>
        <n x="207"/>
      </t>
    </mdx>
    <mdx n="210" f="v">
      <t c="4" si="33">
        <n x="205" s="1"/>
        <n x="204"/>
        <n x="217"/>
        <n x="207"/>
      </t>
    </mdx>
    <mdx n="210" f="v">
      <t c="4" si="33">
        <n x="205" s="1"/>
        <n x="204"/>
        <n x="221"/>
        <n x="207"/>
      </t>
    </mdx>
    <mdx n="210" f="v">
      <t c="4" si="33">
        <n x="205" s="1"/>
        <n x="204"/>
        <n x="239"/>
        <n x="207"/>
      </t>
    </mdx>
    <mdx n="210" f="v">
      <t c="4" si="33">
        <n x="205" s="1"/>
        <n x="204"/>
        <n x="220"/>
        <n x="207"/>
      </t>
    </mdx>
    <mdx n="210" f="v">
      <t c="4" si="33">
        <n x="205" s="1"/>
        <n x="204"/>
        <n x="228"/>
        <n x="207"/>
      </t>
    </mdx>
    <mdx n="210" f="v">
      <t c="4" si="33">
        <n x="205" s="1"/>
        <n x="204"/>
        <n x="231"/>
        <n x="207"/>
      </t>
    </mdx>
    <mdx n="210" f="v">
      <t c="4" si="33">
        <n x="205" s="1"/>
        <n x="204"/>
        <n x="234"/>
        <n x="207"/>
      </t>
    </mdx>
    <mdx n="210" f="v">
      <t c="4" si="33">
        <n x="205" s="1"/>
        <n x="204"/>
        <n x="213"/>
        <n x="207"/>
      </t>
    </mdx>
    <mdx n="210" f="v">
      <t c="4" si="33">
        <n x="205" s="1"/>
        <n x="204"/>
        <n x="230"/>
        <n x="207"/>
      </t>
    </mdx>
    <mdx n="210" f="v">
      <t c="4" si="33">
        <n x="205" s="1"/>
        <n x="204"/>
        <n x="233"/>
        <n x="207"/>
      </t>
    </mdx>
    <mdx n="210" f="v">
      <t c="4" si="33">
        <n x="205" s="1"/>
        <n x="204"/>
        <n x="222"/>
        <n x="207"/>
      </t>
    </mdx>
    <mdx n="210" f="v">
      <t c="4" si="29">
        <n x="205" s="1"/>
        <n x="204"/>
        <n x="232"/>
        <n x="209"/>
      </t>
    </mdx>
    <mdx n="210" f="v">
      <t c="4" si="29">
        <n x="205" s="1"/>
        <n x="204"/>
        <n x="217"/>
        <n x="209"/>
      </t>
    </mdx>
    <mdx n="210" f="v">
      <t c="4" si="29">
        <n x="205" s="1"/>
        <n x="204"/>
        <n x="225"/>
        <n x="209"/>
      </t>
    </mdx>
    <mdx n="210" f="v">
      <t c="4" si="29">
        <n x="205" s="1"/>
        <n x="204"/>
        <n x="216"/>
        <n x="209"/>
      </t>
    </mdx>
    <mdx n="210" f="v">
      <t c="4" si="29">
        <n x="205" s="1"/>
        <n x="204"/>
        <n x="235"/>
        <n x="209"/>
      </t>
    </mdx>
    <mdx n="210" f="v">
      <t c="4" si="29">
        <n x="205" s="1"/>
        <n x="204"/>
        <n x="228"/>
        <n x="209"/>
      </t>
    </mdx>
    <mdx n="210" f="v">
      <t c="4" si="29">
        <n x="205" s="1"/>
        <n x="204"/>
        <n x="231"/>
        <n x="209"/>
      </t>
    </mdx>
    <mdx n="210" f="v">
      <t c="4" si="29">
        <n x="205" s="1"/>
        <n x="204"/>
        <n x="238"/>
        <n x="209"/>
      </t>
    </mdx>
    <mdx n="210" f="v">
      <t c="4" si="29">
        <n x="205" s="1"/>
        <n x="204"/>
        <n x="219"/>
        <n x="209"/>
      </t>
    </mdx>
    <mdx n="210" f="v">
      <t c="4" si="29">
        <n x="205" s="1"/>
        <n x="204"/>
        <n x="227"/>
        <n x="209"/>
      </t>
    </mdx>
    <mdx n="210" f="v">
      <t c="4" si="29">
        <n x="205" s="1"/>
        <n x="204"/>
        <n x="230"/>
        <n x="209"/>
      </t>
    </mdx>
    <mdx n="210" f="v">
      <t c="4" si="29">
        <n x="205" s="1"/>
        <n x="204"/>
        <n x="237"/>
        <n x="209"/>
      </t>
    </mdx>
    <mdx n="210" f="v">
      <t c="4" si="29">
        <n x="205" s="1"/>
        <n x="204"/>
        <n x="218"/>
        <n x="209"/>
      </t>
    </mdx>
    <mdx n="210" f="v">
      <t c="4" si="29">
        <n x="205" s="1"/>
        <n x="204"/>
        <n x="226"/>
        <n x="209"/>
      </t>
    </mdx>
    <mdx n="210" f="v">
      <t c="4" si="29">
        <n x="205" s="1"/>
        <n x="204"/>
        <n x="217"/>
        <n x="208"/>
      </t>
    </mdx>
    <mdx n="210" f="v">
      <t c="4" si="29">
        <n x="205" s="1"/>
        <n x="204"/>
        <n x="225"/>
        <n x="208"/>
      </t>
    </mdx>
    <mdx n="210" f="v">
      <t c="4" si="29">
        <n x="205" s="1"/>
        <n x="204"/>
        <n x="216"/>
        <n x="208"/>
      </t>
    </mdx>
    <mdx n="210" f="v">
      <t c="4" si="29">
        <n x="205" s="1"/>
        <n x="204"/>
        <n x="239"/>
        <n x="208"/>
      </t>
    </mdx>
    <mdx n="210" f="v">
      <t c="4" si="29">
        <n x="205" s="1"/>
        <n x="204"/>
        <n x="215"/>
        <n x="208"/>
      </t>
    </mdx>
    <mdx n="210" f="v">
      <t c="4" si="29">
        <n x="205" s="1"/>
        <n x="204"/>
        <n x="224"/>
        <n x="208"/>
      </t>
    </mdx>
    <mdx n="210" f="v">
      <t c="4" si="29">
        <n x="205" s="1"/>
        <n x="204"/>
        <n x="214"/>
        <n x="208"/>
      </t>
    </mdx>
    <mdx n="210" f="v">
      <t c="4" si="29">
        <n x="205" s="1"/>
        <n x="204"/>
        <n x="234"/>
        <n x="208"/>
      </t>
    </mdx>
    <mdx n="210" f="v">
      <t c="4" si="29">
        <n x="205" s="1"/>
        <n x="204"/>
        <n x="213"/>
        <n x="208"/>
      </t>
    </mdx>
    <mdx n="210" f="v">
      <t c="4" si="29">
        <n x="205" s="1"/>
        <n x="204"/>
        <n x="223"/>
        <n x="208"/>
      </t>
    </mdx>
    <mdx n="210" f="v">
      <t c="4" si="29">
        <n x="205" s="1"/>
        <n x="204"/>
        <n x="237"/>
        <n x="208"/>
      </t>
    </mdx>
    <mdx n="210" f="v">
      <t c="4" si="29">
        <n x="205" s="1"/>
        <n x="204"/>
        <n x="218"/>
        <n x="208"/>
      </t>
    </mdx>
    <mdx n="210" f="v">
      <t c="4" si="29">
        <n x="205" s="1"/>
        <n x="204"/>
        <n x="211"/>
        <n x="208"/>
      </t>
    </mdx>
    <mdx n="210" f="v">
      <t c="4" si="29">
        <n x="205" s="1"/>
        <n x="204"/>
        <n x="222"/>
        <n x="208"/>
      </t>
    </mdx>
    <mdx n="210" f="v">
      <t c="4" si="33">
        <n x="205" s="1"/>
        <n x="204"/>
        <n x="232"/>
        <n x="207"/>
      </t>
    </mdx>
    <mdx n="210" f="v">
      <t c="4" si="33">
        <n x="205" s="1"/>
        <n x="204"/>
        <n x="229"/>
        <n x="207"/>
      </t>
    </mdx>
    <mdx n="210" f="v">
      <t c="4" si="33">
        <n x="205" s="1"/>
        <n x="204"/>
        <n x="225"/>
        <n x="207"/>
      </t>
    </mdx>
    <mdx n="210" f="v">
      <t c="4" si="33">
        <n x="205" s="1"/>
        <n x="204"/>
        <n x="216"/>
        <n x="207"/>
      </t>
    </mdx>
    <mdx n="210" f="v">
      <t c="4" si="33">
        <n x="205" s="1"/>
        <n x="204"/>
        <n x="235"/>
        <n x="207"/>
      </t>
    </mdx>
    <mdx n="210" f="v">
      <t c="4" si="33">
        <n x="205" s="1"/>
        <n x="204"/>
        <n x="215"/>
        <n x="207"/>
      </t>
    </mdx>
    <mdx n="210" f="v">
      <t c="4" si="33">
        <n x="205" s="1"/>
        <n x="204"/>
        <n x="224"/>
        <n x="207"/>
      </t>
    </mdx>
    <mdx n="210" f="v">
      <t c="4" si="33">
        <n x="205" s="1"/>
        <n x="204"/>
        <n x="214"/>
        <n x="207"/>
      </t>
    </mdx>
    <mdx n="210" f="v">
      <t c="4" si="33">
        <n x="205" s="1"/>
        <n x="204"/>
        <n x="238"/>
        <n x="207"/>
      </t>
    </mdx>
    <mdx n="210" f="v">
      <t c="4" si="33">
        <n x="205" s="1"/>
        <n x="204"/>
        <n x="219"/>
        <n x="207"/>
      </t>
    </mdx>
    <mdx n="210" f="v">
      <t c="4" si="33">
        <n x="205" s="1"/>
        <n x="204"/>
        <n x="227"/>
        <n x="207"/>
      </t>
    </mdx>
    <mdx n="210" f="v">
      <t c="4" si="33">
        <n x="205" s="1"/>
        <n x="204"/>
        <n x="223"/>
        <n x="207"/>
      </t>
    </mdx>
    <mdx n="210" f="v">
      <t c="4" si="33">
        <n x="205" s="1"/>
        <n x="204"/>
        <n x="212"/>
        <n x="207"/>
      </t>
    </mdx>
    <mdx n="210" f="v">
      <t c="4" si="33">
        <n x="205" s="1"/>
        <n x="204"/>
        <n x="237"/>
        <n x="207"/>
      </t>
    </mdx>
    <mdx n="210" f="v">
      <t c="4" si="33">
        <n x="205" s="1"/>
        <n x="204"/>
        <n x="218"/>
        <n x="207"/>
      </t>
    </mdx>
    <mdx n="210" f="v">
      <t c="4" si="33">
        <n x="205" s="1"/>
        <n x="204"/>
        <n x="211"/>
        <n x="207"/>
      </t>
    </mdx>
    <mdx n="210" f="v">
      <t c="4" si="33">
        <n x="205" s="1"/>
        <n x="204"/>
        <n x="226"/>
        <n x="207"/>
      </t>
    </mdx>
    <mdx n="0" f="m">
      <t c="1">
        <n x="218"/>
      </t>
    </mdx>
    <mdx n="0" f="m">
      <t c="1">
        <n x="223"/>
      </t>
    </mdx>
    <mdx n="0" f="m">
      <t c="1">
        <n x="214"/>
      </t>
    </mdx>
    <mdx n="0" f="m">
      <t c="1">
        <n x="220"/>
      </t>
    </mdx>
    <mdx n="0" f="m">
      <t c="1">
        <n x="225"/>
      </t>
    </mdx>
    <mdx n="0" f="m">
      <t c="1">
        <n x="237"/>
      </t>
    </mdx>
    <mdx n="0" f="m">
      <t c="1">
        <n x="227"/>
      </t>
    </mdx>
    <mdx n="0" f="m">
      <t c="1">
        <n x="231"/>
      </t>
    </mdx>
    <mdx n="0" f="m">
      <t c="1">
        <n x="239"/>
      </t>
    </mdx>
    <mdx n="0" f="m">
      <t c="1">
        <n x="229"/>
      </t>
    </mdx>
    <mdx n="0" f="m">
      <t c="1">
        <n x="212"/>
      </t>
    </mdx>
    <mdx n="0" f="m">
      <t c="1">
        <n x="219"/>
      </t>
    </mdx>
    <mdx n="0" f="m">
      <t c="1">
        <n x="228"/>
      </t>
    </mdx>
    <mdx n="0" f="m">
      <t c="1">
        <n x="216"/>
      </t>
    </mdx>
    <mdx n="0" f="m">
      <t c="1">
        <n x="217"/>
      </t>
    </mdx>
    <mdx n="0" f="m">
      <t c="1">
        <n x="226"/>
      </t>
    </mdx>
    <mdx n="0" f="m">
      <t c="1">
        <n x="230"/>
      </t>
    </mdx>
    <mdx n="0" f="m">
      <t c="1">
        <n x="238"/>
      </t>
    </mdx>
    <mdx n="0" f="m">
      <t c="1">
        <n x="215"/>
      </t>
    </mdx>
    <mdx n="0" f="m">
      <t c="1">
        <n x="221"/>
      </t>
    </mdx>
    <mdx n="0" f="v">
      <t c="5" si="33">
        <n x="240"/>
        <n x="30"/>
        <n x="2"/>
        <n x="34"/>
        <n x="241" s="1"/>
      </t>
    </mdx>
    <mdx n="0" f="v">
      <t c="5" si="29">
        <n x="240"/>
        <n x="17"/>
        <n x="203"/>
        <n x="7"/>
        <n x="241" s="1"/>
      </t>
    </mdx>
    <mdx n="0" f="v">
      <t c="4" si="29">
        <n x="240"/>
        <n x="184"/>
        <n x="17"/>
        <n x="241" s="1"/>
      </t>
    </mdx>
    <mdx n="0" f="v">
      <t c="4" si="29">
        <n x="240"/>
        <n x="47"/>
        <n x="31"/>
        <n x="241" s="1"/>
      </t>
    </mdx>
    <mdx n="0" f="v">
      <t c="4" si="29">
        <n x="240"/>
        <n x="51"/>
        <n x="17"/>
        <n x="241" s="1"/>
      </t>
    </mdx>
    <mdx n="0" f="v">
      <t c="4" si="29">
        <n x="240"/>
        <n x="37"/>
        <n x="31"/>
        <n x="241" s="1"/>
      </t>
    </mdx>
    <mdx n="0" f="v">
      <t c="4" si="33">
        <n x="240"/>
        <n x="182"/>
        <n x="30"/>
        <n x="241" s="1"/>
      </t>
    </mdx>
    <mdx n="0" f="v">
      <t c="4" si="29">
        <n x="240"/>
        <n x="52"/>
        <n x="17"/>
        <n x="241" s="1"/>
      </t>
    </mdx>
    <mdx n="0" f="v">
      <t c="4" si="29">
        <n x="240"/>
        <n x="46"/>
        <n x="31"/>
        <n x="241" s="1"/>
      </t>
    </mdx>
    <mdx n="0" f="v">
      <t c="4" si="33">
        <n x="240"/>
        <n x="180"/>
        <n x="30"/>
        <n x="241" s="1"/>
      </t>
    </mdx>
    <mdx n="0" f="v">
      <t c="4" si="29">
        <n x="240"/>
        <n x="49"/>
        <n x="17"/>
        <n x="241" s="1"/>
      </t>
    </mdx>
    <mdx n="0" f="v">
      <t c="5" si="29">
        <n x="240"/>
        <n x="17"/>
        <n x="8"/>
        <n x="28"/>
        <n x="241" s="1"/>
      </t>
    </mdx>
    <mdx n="0" f="v">
      <t c="4" si="33">
        <n x="240"/>
        <n x="38"/>
        <n x="32"/>
        <n x="241" s="1"/>
      </t>
    </mdx>
    <mdx n="0" f="v">
      <t c="4" si="33">
        <n x="240"/>
        <n x="35"/>
        <n x="32"/>
        <n x="241" s="1"/>
      </t>
    </mdx>
    <mdx n="0" f="v">
      <t c="4" si="29">
        <n x="240"/>
        <n x="44"/>
        <n x="31"/>
        <n x="241" s="1"/>
      </t>
    </mdx>
    <mdx n="0" f="v">
      <t c="4" si="29">
        <n x="240"/>
        <n x="49"/>
        <n x="31"/>
        <n x="241" s="1"/>
      </t>
    </mdx>
    <mdx n="0" f="v">
      <t c="4" si="33">
        <n x="240"/>
        <n x="48"/>
        <n x="32"/>
        <n x="241" s="1"/>
      </t>
    </mdx>
    <mdx n="0" f="v">
      <t c="5" si="33">
        <n x="240"/>
        <n x="30"/>
        <n x="6"/>
        <n x="35"/>
        <n x="241" s="1"/>
      </t>
    </mdx>
    <mdx n="0" f="v">
      <t c="5" si="33">
        <n x="240"/>
        <n x="30"/>
        <n x="202"/>
        <n x="43"/>
        <n x="241" s="1"/>
      </t>
    </mdx>
    <mdx n="0" f="v">
      <t c="4" si="29">
        <n x="240"/>
        <n x="47"/>
        <n x="17"/>
        <n x="241" s="1"/>
      </t>
    </mdx>
    <mdx n="0" f="v">
      <t c="4" si="29">
        <n x="240"/>
        <n x="44"/>
        <n x="17"/>
        <n x="241" s="1"/>
      </t>
    </mdx>
    <mdx n="0" f="v">
      <t c="4" si="33">
        <n x="240"/>
        <n x="34"/>
        <n x="30"/>
        <n x="241" s="1"/>
      </t>
    </mdx>
    <mdx n="0" f="v">
      <t c="4" si="29">
        <n x="240"/>
        <n x="39"/>
        <n x="17"/>
        <n x="241" s="1"/>
      </t>
    </mdx>
    <mdx n="0" f="v">
      <t c="5" si="33">
        <n x="240"/>
        <n x="30"/>
        <n x="203"/>
        <n x="35"/>
        <n x="241" s="1"/>
      </t>
    </mdx>
    <mdx n="0" f="v">
      <t c="5" si="33">
        <n x="240"/>
        <n x="30"/>
        <n x="202"/>
        <n x="34"/>
        <n x="241" s="1"/>
      </t>
    </mdx>
    <mdx n="0" f="v">
      <t c="5" si="29">
        <n x="240"/>
        <n x="17"/>
        <n x="13"/>
        <n x="28"/>
        <n x="241" s="1"/>
      </t>
    </mdx>
    <mdx n="0" f="v">
      <t c="4" si="29">
        <n x="240"/>
        <n x="36"/>
        <n x="31"/>
        <n x="241" s="1"/>
      </t>
    </mdx>
    <mdx n="0" f="v">
      <t c="4" si="33">
        <n x="240"/>
        <n x="180"/>
        <n x="32"/>
        <n x="241" s="1"/>
      </t>
    </mdx>
    <mdx n="0" f="v">
      <t c="5" si="33">
        <n x="240"/>
        <n x="30"/>
        <n x="18"/>
        <n x="35"/>
        <n x="241" s="1"/>
      </t>
    </mdx>
    <mdx n="0" f="v">
      <t c="4" si="29">
        <n x="240"/>
        <n x="43"/>
        <n x="31"/>
        <n x="241" s="1"/>
      </t>
    </mdx>
    <mdx n="0" f="v">
      <t c="4" si="33">
        <n x="240"/>
        <n x="47"/>
        <n x="30"/>
        <n x="241" s="1"/>
      </t>
    </mdx>
    <mdx n="0" f="v">
      <t c="4" si="33">
        <n x="240"/>
        <n x="35"/>
        <n x="30"/>
        <n x="241" s="1"/>
      </t>
    </mdx>
    <mdx n="0" f="v">
      <t c="4" si="33">
        <n x="240"/>
        <n x="182"/>
        <n x="32"/>
        <n x="241" s="1"/>
      </t>
    </mdx>
    <mdx n="0" f="v">
      <t c="4" si="29">
        <n x="240"/>
        <n x="179"/>
        <n x="17"/>
        <n x="241" s="1"/>
      </t>
    </mdx>
    <mdx n="0" f="v">
      <t c="4" si="33">
        <n x="240"/>
        <n x="37"/>
        <n x="30"/>
        <n x="241" s="1"/>
      </t>
    </mdx>
    <mdx n="0" f="v">
      <t c="4" si="33">
        <n x="240"/>
        <n x="54"/>
        <n x="32"/>
        <n x="241" s="1"/>
      </t>
    </mdx>
    <mdx n="0" f="v">
      <t c="4" si="33">
        <n x="240"/>
        <n x="47"/>
        <n x="32"/>
        <n x="241" s="1"/>
      </t>
    </mdx>
    <mdx n="0" f="v">
      <t c="4" si="29">
        <n x="240"/>
        <n x="52"/>
        <n x="31"/>
        <n x="241" s="1"/>
      </t>
    </mdx>
    <mdx n="0" f="v">
      <t c="4" si="29">
        <n x="240"/>
        <n x="175"/>
        <n x="17"/>
        <n x="241" s="1"/>
      </t>
    </mdx>
    <mdx n="0" f="v">
      <t c="4" si="29">
        <n x="240"/>
        <n x="40"/>
        <n x="17"/>
        <n x="241" s="1"/>
      </t>
    </mdx>
    <mdx n="0" f="v">
      <t c="5" si="33">
        <n x="240"/>
        <n x="30"/>
        <n x="11"/>
        <n x="35"/>
        <n x="241" s="1"/>
      </t>
    </mdx>
    <mdx n="0" f="v">
      <t c="4" si="29">
        <n x="240"/>
        <n x="182"/>
        <n x="17"/>
        <n x="241" s="1"/>
      </t>
    </mdx>
    <mdx n="0" f="v">
      <t c="5" si="33">
        <n x="240"/>
        <n x="30"/>
        <n x="3"/>
        <n x="35"/>
        <n x="241" s="1"/>
      </t>
    </mdx>
    <mdx n="0" f="v">
      <t c="4" si="29">
        <n x="240"/>
        <n x="182"/>
        <n x="31"/>
        <n x="241" s="1"/>
      </t>
    </mdx>
    <mdx n="0" f="v">
      <t c="4" si="33">
        <n x="240"/>
        <n x="175"/>
        <n x="30"/>
        <n x="241" s="1"/>
      </t>
    </mdx>
    <mdx n="0" f="v">
      <t c="4" si="29">
        <n x="240"/>
        <n x="54"/>
        <n x="31"/>
        <n x="241" s="1"/>
      </t>
    </mdx>
    <mdx n="0" f="v">
      <t c="4" si="33">
        <n x="240"/>
        <n x="42"/>
        <n x="30"/>
        <n x="241" s="1"/>
      </t>
    </mdx>
    <mdx n="0" f="v">
      <t c="4" si="33">
        <n x="240"/>
        <n x="39"/>
        <n x="30"/>
        <n x="241" s="1"/>
      </t>
    </mdx>
    <mdx n="0" f="v">
      <t c="4" si="33">
        <n x="240"/>
        <n x="39"/>
        <n x="32"/>
        <n x="241" s="1"/>
      </t>
    </mdx>
    <mdx n="0" f="v">
      <t c="4" si="33">
        <n x="240"/>
        <n x="36"/>
        <n x="32"/>
        <n x="241" s="1"/>
      </t>
    </mdx>
    <mdx n="0" f="v">
      <t c="4" si="29">
        <n x="240"/>
        <n x="39"/>
        <n x="31"/>
        <n x="241" s="1"/>
      </t>
    </mdx>
    <mdx n="0" f="v">
      <t c="5" si="33">
        <n x="240"/>
        <n x="30"/>
        <n x="2"/>
        <n x="35"/>
        <n x="241" s="1"/>
      </t>
    </mdx>
    <mdx n="0" f="v">
      <t c="4" si="33">
        <n x="240"/>
        <n x="46"/>
        <n x="30"/>
        <n x="241" s="1"/>
      </t>
    </mdx>
    <mdx n="0" f="v">
      <t c="4" si="33">
        <n x="240"/>
        <n x="49"/>
        <n x="30"/>
        <n x="241" s="1"/>
      </t>
    </mdx>
    <mdx n="0" f="v">
      <t c="4" si="29">
        <n x="240"/>
        <n x="38"/>
        <n x="31"/>
        <n x="241" s="1"/>
      </t>
    </mdx>
    <mdx n="0" f="v">
      <t c="4" si="29">
        <n x="240"/>
        <n x="45"/>
        <n x="31"/>
        <n x="241" s="1"/>
      </t>
    </mdx>
    <mdx n="0" f="v">
      <t c="4" si="33">
        <n x="240"/>
        <n x="52"/>
        <n x="32"/>
        <n x="241" s="1"/>
      </t>
    </mdx>
    <mdx n="0" f="v">
      <t c="4" si="33">
        <n x="240"/>
        <n x="44"/>
        <n x="30"/>
        <n x="241" s="1"/>
      </t>
    </mdx>
    <mdx n="0" f="v">
      <t c="4" si="29">
        <n x="240"/>
        <n x="42"/>
        <n x="17"/>
        <n x="241" s="1"/>
      </t>
    </mdx>
    <mdx n="0" f="v">
      <t c="4" si="33">
        <n x="240"/>
        <n x="201"/>
        <n x="32"/>
        <n x="241" s="1"/>
      </t>
    </mdx>
    <mdx n="0" f="v">
      <t c="4" si="29">
        <n x="240"/>
        <n x="35"/>
        <n x="31"/>
        <n x="241" s="1"/>
      </t>
    </mdx>
    <mdx n="0" f="v">
      <t c="5" si="33">
        <n x="240"/>
        <n x="30"/>
        <n x="3"/>
        <n x="34"/>
        <n x="241" s="1"/>
      </t>
    </mdx>
    <mdx n="0" f="v">
      <t c="5" si="33">
        <n x="240"/>
        <n x="30"/>
        <n x="26"/>
        <n x="35"/>
        <n x="241" s="1"/>
      </t>
    </mdx>
    <mdx n="0" f="v">
      <t c="5" si="29">
        <n x="240"/>
        <n x="17"/>
        <n x="8"/>
        <n x="7"/>
        <n x="241" s="1"/>
      </t>
    </mdx>
    <mdx n="0" f="v">
      <t c="5" si="33">
        <n x="240"/>
        <n x="30"/>
        <n x="26"/>
        <n x="43"/>
        <n x="241" s="1"/>
      </t>
    </mdx>
    <mdx n="0" f="v">
      <t c="4" si="29">
        <n x="240"/>
        <n x="51"/>
        <n x="31"/>
        <n x="241" s="1"/>
      </t>
    </mdx>
    <mdx n="0" f="v">
      <t c="5" si="29">
        <n x="240"/>
        <n x="17"/>
        <n x="203"/>
        <n x="28"/>
        <n x="241" s="1"/>
      </t>
    </mdx>
    <mdx n="0" f="v">
      <t c="4" si="29">
        <n x="240"/>
        <n x="41"/>
        <n x="17"/>
        <n x="241" s="1"/>
      </t>
    </mdx>
    <mdx n="0" f="v">
      <t c="5" si="33">
        <n x="240"/>
        <n x="30"/>
        <n x="202"/>
        <n x="35"/>
        <n x="241" s="1"/>
      </t>
    </mdx>
    <mdx n="0" f="v">
      <t c="4" si="29">
        <n x="240"/>
        <n x="45"/>
        <n x="17"/>
        <n x="241" s="1"/>
      </t>
    </mdx>
    <mdx n="0" f="v">
      <t c="5" si="33">
        <n x="240"/>
        <n x="30"/>
        <n x="15"/>
        <n x="34"/>
        <n x="241" s="1"/>
      </t>
    </mdx>
    <mdx n="0" f="v">
      <t c="5" si="33">
        <n x="240"/>
        <n x="30"/>
        <n x="4"/>
        <n x="35"/>
        <n x="241" s="1"/>
      </t>
    </mdx>
    <mdx n="0" f="v">
      <t c="5" si="33">
        <n x="240"/>
        <n x="30"/>
        <n x="8"/>
        <n x="35"/>
        <n x="241" s="1"/>
      </t>
    </mdx>
    <mdx n="0" f="v">
      <t c="5" si="33">
        <n x="240"/>
        <n x="30"/>
        <n x="203"/>
        <n x="34"/>
        <n x="241" s="1"/>
      </t>
    </mdx>
    <mdx n="0" f="v">
      <t c="5" si="29">
        <n x="240"/>
        <n x="17"/>
        <n x="13"/>
        <n x="23"/>
        <n x="241" s="1"/>
      </t>
    </mdx>
    <mdx n="0" f="v">
      <t c="4" si="33">
        <n x="240"/>
        <n x="179"/>
        <n x="32"/>
        <n x="241" s="1"/>
      </t>
    </mdx>
    <mdx n="0" f="v">
      <t c="5" si="33">
        <n x="240"/>
        <n x="30"/>
        <n x="9"/>
        <n x="34"/>
        <n x="241" s="1"/>
      </t>
    </mdx>
    <mdx n="0" f="v">
      <t c="4" si="29">
        <n x="240"/>
        <n x="53"/>
        <n x="17"/>
        <n x="241" s="1"/>
      </t>
    </mdx>
    <mdx n="0" f="v">
      <t c="5" si="33">
        <n x="240"/>
        <n x="30"/>
        <n x="6"/>
        <n x="43"/>
        <n x="241" s="1"/>
      </t>
    </mdx>
    <mdx n="0" f="v">
      <t c="5" si="33">
        <n x="240"/>
        <n x="30"/>
        <n x="21"/>
        <n x="34"/>
        <n x="241" s="1"/>
      </t>
    </mdx>
    <mdx n="0" f="v">
      <t c="4" si="29">
        <n x="240"/>
        <n x="184"/>
        <n x="31"/>
        <n x="241" s="1"/>
      </t>
    </mdx>
    <mdx n="0" f="v">
      <t c="4" si="33">
        <n x="240"/>
        <n x="43"/>
        <n x="30"/>
        <n x="241" s="1"/>
      </t>
    </mdx>
    <mdx n="0" f="v">
      <t c="5" si="33">
        <n x="240"/>
        <n x="30"/>
        <n x="12"/>
        <n x="43"/>
        <n x="241" s="1"/>
      </t>
    </mdx>
    <mdx n="0" f="v">
      <t c="5" si="33">
        <n x="240"/>
        <n x="30"/>
        <n x="4"/>
        <n x="34"/>
        <n x="241" s="1"/>
      </t>
    </mdx>
    <mdx n="0" f="v">
      <t c="4" si="33">
        <n x="240"/>
        <n x="51"/>
        <n x="32"/>
        <n x="241" s="1"/>
      </t>
    </mdx>
    <mdx n="0" f="v">
      <t c="5" si="33">
        <n x="240"/>
        <n x="30"/>
        <n x="13"/>
        <n x="43"/>
        <n x="241" s="1"/>
      </t>
    </mdx>
    <mdx n="0" f="v">
      <t c="5" si="33">
        <n x="240"/>
        <n x="30"/>
        <n x="1"/>
        <n x="43"/>
        <n x="241" s="1"/>
      </t>
    </mdx>
    <mdx n="0" f="v">
      <t c="5" si="29">
        <n x="240"/>
        <n x="17"/>
        <n x="202"/>
        <n x="23"/>
        <n x="241" s="1"/>
      </t>
    </mdx>
    <mdx n="0" f="v">
      <t c="5" si="33">
        <n x="240"/>
        <n x="30"/>
        <n x="14"/>
        <n x="34"/>
        <n x="241" s="1"/>
      </t>
    </mdx>
    <mdx n="0" f="v">
      <t c="5" si="33">
        <n x="240"/>
        <n x="30"/>
        <n x="14"/>
        <n x="35"/>
        <n x="241" s="1"/>
      </t>
    </mdx>
    <mdx n="0" f="v">
      <t c="5" si="33">
        <n x="240"/>
        <n x="30"/>
        <n x="14"/>
        <n x="43"/>
        <n x="241" s="1"/>
      </t>
    </mdx>
    <mdx n="0" f="v">
      <t c="5" si="29">
        <n x="240"/>
        <n x="17"/>
        <n x="14"/>
        <n x="7"/>
        <n x="241" s="1"/>
      </t>
    </mdx>
    <mdx n="0" f="v">
      <t c="4" si="29">
        <n x="240"/>
        <n x="54"/>
        <n x="17"/>
        <n x="241" s="1"/>
      </t>
    </mdx>
    <mdx n="0" f="v">
      <t c="5" si="29">
        <n x="240"/>
        <n x="17"/>
        <n x="16"/>
        <n x="23"/>
        <n x="241" s="1"/>
      </t>
    </mdx>
    <mdx n="0" f="v">
      <t c="5" si="33">
        <n x="240"/>
        <n x="30"/>
        <n x="11"/>
        <n x="43"/>
        <n x="241" s="1"/>
      </t>
    </mdx>
    <mdx n="0" f="v">
      <t c="4" si="29">
        <n x="240"/>
        <n x="175"/>
        <n x="31"/>
        <n x="241" s="1"/>
      </t>
    </mdx>
    <mdx n="0" f="v">
      <t c="5" si="33">
        <n x="240"/>
        <n x="30"/>
        <n x="6"/>
        <n x="34"/>
        <n x="241" s="1"/>
      </t>
    </mdx>
    <mdx n="0" f="v">
      <t c="5" si="29">
        <n x="240"/>
        <n x="17"/>
        <n x="21"/>
        <n x="23"/>
        <n x="241" s="1"/>
      </t>
    </mdx>
    <mdx n="0" f="v">
      <t c="4" si="29">
        <n x="240"/>
        <n x="46"/>
        <n x="17"/>
        <n x="241" s="1"/>
      </t>
    </mdx>
    <mdx n="0" f="v">
      <t c="5" si="33">
        <n x="240"/>
        <n x="30"/>
        <n x="21"/>
        <n x="35"/>
        <n x="241" s="1"/>
      </t>
    </mdx>
    <mdx n="0" f="v">
      <t c="5" si="29">
        <n x="240"/>
        <n x="17"/>
        <n x="14"/>
        <n x="23"/>
        <n x="241" s="1"/>
      </t>
    </mdx>
    <mdx n="0" f="v">
      <t c="4" si="33">
        <n x="240"/>
        <n x="184"/>
        <n x="32"/>
        <n x="241" s="1"/>
      </t>
    </mdx>
    <mdx n="0" f="v">
      <t c="5" si="33">
        <n x="240"/>
        <n x="30"/>
        <n x="5"/>
        <n x="43"/>
        <n x="241" s="1"/>
      </t>
    </mdx>
    <mdx n="0" f="v">
      <t c="5" si="29">
        <n x="240"/>
        <n x="17"/>
        <n x="14"/>
        <n x="28"/>
        <n x="241" s="1"/>
      </t>
    </mdx>
    <mdx n="0" f="v">
      <t c="4" si="33">
        <n x="240"/>
        <n x="41"/>
        <n x="32"/>
        <n x="241" s="1"/>
      </t>
    </mdx>
    <mdx n="0" f="v">
      <t c="5" si="33">
        <n x="240"/>
        <n x="30"/>
        <n x="21"/>
        <n x="43"/>
        <n x="241" s="1"/>
      </t>
    </mdx>
    <mdx n="0" f="v">
      <t c="5" si="29">
        <n x="240"/>
        <n x="17"/>
        <n x="24"/>
        <n x="23"/>
        <n x="241" s="1"/>
      </t>
    </mdx>
    <mdx n="0" f="v">
      <t c="5" si="33">
        <n x="240"/>
        <n x="30"/>
        <n x="1"/>
        <n x="34"/>
        <n x="241" s="1"/>
      </t>
    </mdx>
    <mdx n="0" f="v">
      <t c="4" si="29">
        <n x="240"/>
        <n x="48"/>
        <n x="17"/>
        <n x="241" s="1"/>
      </t>
    </mdx>
    <mdx n="0" f="v">
      <t c="5" si="33">
        <n x="240"/>
        <n x="30"/>
        <n x="10"/>
        <n x="34"/>
        <n x="241" s="1"/>
      </t>
    </mdx>
    <mdx n="0" f="v">
      <t c="5" si="29">
        <n x="240"/>
        <n x="17"/>
        <n x="5"/>
        <n x="23"/>
        <n x="241" s="1"/>
      </t>
    </mdx>
    <mdx n="0" f="v">
      <t c="5" si="33">
        <n x="240"/>
        <n x="30"/>
        <n x="5"/>
        <n x="34"/>
        <n x="241" s="1"/>
      </t>
    </mdx>
    <mdx n="0" f="v">
      <t c="4" si="33">
        <n x="240"/>
        <n x="37"/>
        <n x="32"/>
        <n x="241" s="1"/>
      </t>
    </mdx>
    <mdx n="0" f="v">
      <t c="5" si="29">
        <n x="240"/>
        <n x="17"/>
        <n x="2"/>
        <n x="28"/>
        <n x="241" s="1"/>
      </t>
    </mdx>
    <mdx n="0" f="v">
      <t c="5" si="29">
        <n x="240"/>
        <n x="17"/>
        <n x="26"/>
        <n x="7"/>
        <n x="241" s="1"/>
      </t>
    </mdx>
    <mdx n="0" f="v">
      <t c="5" si="29">
        <n x="240"/>
        <n x="17"/>
        <n x="2"/>
        <n x="23"/>
        <n x="241" s="1"/>
      </t>
    </mdx>
    <mdx n="0" f="v">
      <t c="4" si="33">
        <n x="240"/>
        <n x="179"/>
        <n x="30"/>
        <n x="241" s="1"/>
      </t>
    </mdx>
    <mdx n="0" f="v">
      <t c="5" si="29">
        <n x="240"/>
        <n x="17"/>
        <n x="202"/>
        <n x="7"/>
        <n x="241" s="1"/>
      </t>
    </mdx>
    <mdx n="0" f="v">
      <t c="5" si="33">
        <n x="240"/>
        <n x="30"/>
        <n x="12"/>
        <n x="35"/>
        <n x="241" s="1"/>
      </t>
    </mdx>
    <mdx n="0" f="v">
      <t c="4" si="33">
        <n x="240"/>
        <n x="53"/>
        <n x="30"/>
        <n x="241" s="1"/>
      </t>
    </mdx>
    <mdx n="0" f="v">
      <t c="5" si="33">
        <n x="240"/>
        <n x="30"/>
        <n x="24"/>
        <n x="43"/>
        <n x="241" s="1"/>
      </t>
    </mdx>
    <mdx n="0" f="v">
      <t c="5" si="33">
        <n x="240"/>
        <n x="30"/>
        <n x="10"/>
        <n x="43"/>
        <n x="241" s="1"/>
      </t>
    </mdx>
    <mdx n="0" f="v">
      <t c="5" si="33">
        <n x="240"/>
        <n x="30"/>
        <n x="20"/>
        <n x="43"/>
        <n x="241" s="1"/>
      </t>
    </mdx>
    <mdx n="0" f="v">
      <t c="5" si="29">
        <n x="240"/>
        <n x="17"/>
        <n x="22"/>
        <n x="28"/>
        <n x="241" s="1"/>
      </t>
    </mdx>
    <mdx n="0" f="v">
      <t c="5" si="29">
        <n x="240"/>
        <n x="17"/>
        <n x="202"/>
        <n x="28"/>
        <n x="241" s="1"/>
      </t>
    </mdx>
    <mdx n="0" f="v">
      <t c="5" si="29">
        <n x="240"/>
        <n x="17"/>
        <n x="16"/>
        <n x="28"/>
        <n x="241" s="1"/>
      </t>
    </mdx>
    <mdx n="0" f="v">
      <t c="4" si="29">
        <n x="240"/>
        <n x="201"/>
        <n x="17"/>
        <n x="241" s="1"/>
      </t>
    </mdx>
    <mdx n="0" f="v">
      <t c="5" si="29">
        <n x="240"/>
        <n x="17"/>
        <n x="4"/>
        <n x="28"/>
        <n x="241" s="1"/>
      </t>
    </mdx>
    <mdx n="0" f="v">
      <t c="4" si="33">
        <n x="240"/>
        <n x="53"/>
        <n x="32"/>
        <n x="241" s="1"/>
      </t>
    </mdx>
    <mdx n="0" f="v">
      <t c="5" si="33">
        <n x="240"/>
        <n x="30"/>
        <n x="9"/>
        <n x="43"/>
        <n x="241" s="1"/>
      </t>
    </mdx>
    <mdx n="0" f="v">
      <t c="4" si="29">
        <n x="240"/>
        <n x="176"/>
        <n x="31"/>
        <n x="241" s="1"/>
      </t>
    </mdx>
    <mdx n="0" f="v">
      <t c="5" si="33">
        <n x="240"/>
        <n x="30"/>
        <n x="25"/>
        <n x="34"/>
        <n x="241" s="1"/>
      </t>
    </mdx>
    <mdx n="0" f="v">
      <t c="5" si="33">
        <n x="240"/>
        <n x="30"/>
        <n x="19"/>
        <n x="35"/>
        <n x="241" s="1"/>
      </t>
    </mdx>
    <mdx n="0" f="v">
      <t c="5" si="33">
        <n x="240"/>
        <n x="30"/>
        <n x="5"/>
        <n x="35"/>
        <n x="241" s="1"/>
      </t>
    </mdx>
    <mdx n="0" f="v">
      <t c="5" si="33">
        <n x="240"/>
        <n x="30"/>
        <n x="27"/>
        <n x="43"/>
        <n x="241" s="1"/>
      </t>
    </mdx>
    <mdx n="0" f="v">
      <t c="5" si="33">
        <n x="240"/>
        <n x="30"/>
        <n x="25"/>
        <n x="35"/>
        <n x="241" s="1"/>
      </t>
    </mdx>
    <mdx n="0" f="v">
      <t c="4" si="29">
        <n x="240"/>
        <n x="40"/>
        <n x="31"/>
        <n x="241" s="1"/>
      </t>
    </mdx>
    <mdx n="0" f="v">
      <t c="5" si="33">
        <n x="240"/>
        <n x="30"/>
        <n x="11"/>
        <n x="34"/>
        <n x="241" s="1"/>
      </t>
    </mdx>
    <mdx n="0" f="v">
      <t c="5" si="33">
        <n x="240"/>
        <n x="30"/>
        <n x="9"/>
        <n x="35"/>
        <n x="241" s="1"/>
      </t>
    </mdx>
    <mdx n="0" f="v">
      <t c="5" si="33">
        <n x="240"/>
        <n x="30"/>
        <n x="2"/>
        <n x="43"/>
        <n x="241" s="1"/>
      </t>
    </mdx>
    <mdx n="0" f="v">
      <t c="5" si="29">
        <n x="240"/>
        <n x="17"/>
        <n x="27"/>
        <n x="28"/>
        <n x="241" s="1"/>
      </t>
    </mdx>
    <mdx n="0" f="v">
      <t c="4" si="29">
        <n x="240"/>
        <n x="37"/>
        <n x="17"/>
        <n x="241" s="1"/>
      </t>
    </mdx>
    <mdx n="0" f="v">
      <t c="5" si="33">
        <n x="240"/>
        <n x="30"/>
        <n x="16"/>
        <n x="34"/>
        <n x="241" s="1"/>
      </t>
    </mdx>
    <mdx n="0" f="v">
      <t c="5" si="29">
        <n x="240"/>
        <n x="17"/>
        <n x="2"/>
        <n x="7"/>
        <n x="241" s="1"/>
      </t>
    </mdx>
    <mdx n="0" f="v">
      <t c="5" si="33">
        <n x="240"/>
        <n x="30"/>
        <n x="3"/>
        <n x="43"/>
        <n x="241" s="1"/>
      </t>
    </mdx>
    <mdx n="0" f="v">
      <t c="5" si="33">
        <n x="240"/>
        <n x="30"/>
        <n x="18"/>
        <n x="34"/>
        <n x="241" s="1"/>
      </t>
    </mdx>
    <mdx n="0" f="v">
      <t c="5" si="33">
        <n x="240"/>
        <n x="30"/>
        <n x="15"/>
        <n x="43"/>
        <n x="241" s="1"/>
      </t>
    </mdx>
    <mdx n="0" f="v">
      <t c="5" si="33">
        <n x="240"/>
        <n x="30"/>
        <n x="24"/>
        <n x="35"/>
        <n x="241" s="1"/>
      </t>
    </mdx>
    <mdx n="0" f="v">
      <t c="5" si="33">
        <n x="240"/>
        <n x="30"/>
        <n x="24"/>
        <n x="34"/>
        <n x="241" s="1"/>
      </t>
    </mdx>
    <mdx n="0" f="v">
      <t c="5" si="33">
        <n x="240"/>
        <n x="30"/>
        <n x="27"/>
        <n x="34"/>
        <n x="241" s="1"/>
      </t>
    </mdx>
    <mdx n="0" f="v">
      <t c="5" si="33">
        <n x="240"/>
        <n x="30"/>
        <n x="20"/>
        <n x="34"/>
        <n x="241" s="1"/>
      </t>
    </mdx>
    <mdx n="0" f="v">
      <t c="5" si="33">
        <n x="240"/>
        <n x="30"/>
        <n x="20"/>
        <n x="35"/>
        <n x="241" s="1"/>
      </t>
    </mdx>
    <mdx n="0" f="v">
      <t c="5" si="33">
        <n x="240"/>
        <n x="30"/>
        <n x="19"/>
        <n x="43"/>
        <n x="241" s="1"/>
      </t>
    </mdx>
    <mdx n="0" f="v">
      <t c="5" si="33">
        <n x="240"/>
        <n x="30"/>
        <n x="19"/>
        <n x="34"/>
        <n x="241" s="1"/>
      </t>
    </mdx>
    <mdx n="0" f="v">
      <t c="5" si="33">
        <n x="240"/>
        <n x="30"/>
        <n x="13"/>
        <n x="34"/>
        <n x="241" s="1"/>
      </t>
    </mdx>
    <mdx n="0" f="v">
      <t c="5" si="33">
        <n x="240"/>
        <n x="30"/>
        <n x="16"/>
        <n x="35"/>
        <n x="241" s="1"/>
      </t>
    </mdx>
    <mdx n="0" f="v">
      <t c="5" si="33">
        <n x="240"/>
        <n x="30"/>
        <n x="16"/>
        <n x="43"/>
        <n x="241" s="1"/>
      </t>
    </mdx>
    <mdx n="0" f="v">
      <t c="5" si="33">
        <n x="240"/>
        <n x="30"/>
        <n x="22"/>
        <n x="43"/>
        <n x="241" s="1"/>
      </t>
    </mdx>
    <mdx n="0" f="v">
      <t c="5" si="33">
        <n x="240"/>
        <n x="30"/>
        <n x="22"/>
        <n x="34"/>
        <n x="241" s="1"/>
      </t>
    </mdx>
    <mdx n="0" f="v">
      <t c="5" si="29">
        <n x="240"/>
        <n x="17"/>
        <n x="12"/>
        <n x="28"/>
        <n x="241" s="1"/>
      </t>
    </mdx>
    <mdx n="0" f="v">
      <t c="5" si="29">
        <n x="240"/>
        <n x="17"/>
        <n x="1"/>
        <n x="28"/>
        <n x="241" s="1"/>
      </t>
    </mdx>
    <mdx n="0" f="v">
      <t c="5" si="29">
        <n x="240"/>
        <n x="17"/>
        <n x="1"/>
        <n x="23"/>
        <n x="241" s="1"/>
      </t>
    </mdx>
    <mdx n="0" f="v">
      <t c="5" si="29">
        <n x="240"/>
        <n x="17"/>
        <n x="27"/>
        <n x="23"/>
        <n x="241" s="1"/>
      </t>
    </mdx>
    <mdx n="0" f="v">
      <t c="5" si="29">
        <n x="240"/>
        <n x="17"/>
        <n x="25"/>
        <n x="28"/>
        <n x="241" s="1"/>
      </t>
    </mdx>
    <mdx n="0" f="v">
      <t c="5" si="29">
        <n x="240"/>
        <n x="17"/>
        <n x="21"/>
        <n x="7"/>
        <n x="241" s="1"/>
      </t>
    </mdx>
    <mdx n="0" f="v">
      <t c="4" si="33">
        <n x="240"/>
        <n x="44"/>
        <n x="32"/>
        <n x="241" s="1"/>
      </t>
    </mdx>
    <mdx n="0" f="v">
      <t c="4" si="29">
        <n x="240"/>
        <n x="38"/>
        <n x="17"/>
        <n x="241" s="1"/>
      </t>
    </mdx>
    <mdx n="0" f="v">
      <t c="4" si="33">
        <n x="240"/>
        <n x="41"/>
        <n x="30"/>
        <n x="241" s="1"/>
      </t>
    </mdx>
    <mdx n="0" f="v">
      <t c="5" si="33">
        <n x="240"/>
        <n x="30"/>
        <n x="26"/>
        <n x="34"/>
        <n x="241" s="1"/>
      </t>
    </mdx>
    <mdx n="0" f="v">
      <t c="4" si="33">
        <n x="240"/>
        <n x="42"/>
        <n x="32"/>
        <n x="241" s="1"/>
      </t>
    </mdx>
    <mdx n="0" f="v">
      <t c="4" si="29">
        <n x="240"/>
        <n x="43"/>
        <n x="17"/>
        <n x="241" s="1"/>
      </t>
    </mdx>
    <mdx n="0" f="v">
      <t c="4" si="33">
        <n x="240"/>
        <n x="45"/>
        <n x="30"/>
        <n x="241" s="1"/>
      </t>
    </mdx>
    <mdx n="0" f="v">
      <t c="4" si="33">
        <n x="240"/>
        <n x="201"/>
        <n x="30"/>
        <n x="241" s="1"/>
      </t>
    </mdx>
    <mdx n="0" f="v">
      <t c="4" si="29">
        <n x="240"/>
        <n x="176"/>
        <n x="17"/>
        <n x="241" s="1"/>
      </t>
    </mdx>
    <mdx n="0" f="v">
      <t c="4" si="33">
        <n x="240"/>
        <n x="50"/>
        <n x="32"/>
        <n x="241" s="1"/>
      </t>
    </mdx>
    <mdx n="0" f="v">
      <t c="4" si="33">
        <n x="240"/>
        <n x="45"/>
        <n x="32"/>
        <n x="241" s="1"/>
      </t>
    </mdx>
    <mdx n="0" f="v">
      <t c="5" si="29">
        <n x="240"/>
        <n x="17"/>
        <n x="6"/>
        <n x="28"/>
        <n x="241" s="1"/>
      </t>
    </mdx>
    <mdx n="0" f="v">
      <t c="5" si="29">
        <n x="240"/>
        <n x="17"/>
        <n x="19"/>
        <n x="23"/>
        <n x="241" s="1"/>
      </t>
    </mdx>
    <mdx n="0" f="v">
      <t c="5" si="29">
        <n x="240"/>
        <n x="17"/>
        <n x="25"/>
        <n x="7"/>
        <n x="241" s="1"/>
      </t>
    </mdx>
    <mdx n="0" f="v">
      <t c="5" si="29">
        <n x="240"/>
        <n x="17"/>
        <n x="5"/>
        <n x="28"/>
        <n x="241" s="1"/>
      </t>
    </mdx>
    <mdx n="0" f="v">
      <t c="5" si="29">
        <n x="240"/>
        <n x="17"/>
        <n x="20"/>
        <n x="23"/>
        <n x="241" s="1"/>
      </t>
    </mdx>
    <mdx n="0" f="v">
      <t c="5" si="29">
        <n x="240"/>
        <n x="17"/>
        <n x="18"/>
        <n x="7"/>
        <n x="241" s="1"/>
      </t>
    </mdx>
    <mdx n="0" f="v">
      <t c="5" si="29">
        <n x="240"/>
        <n x="17"/>
        <n x="16"/>
        <n x="7"/>
        <n x="241" s="1"/>
      </t>
    </mdx>
    <mdx n="0" f="v">
      <t c="5" si="29">
        <n x="240"/>
        <n x="17"/>
        <n x="12"/>
        <n x="7"/>
        <n x="241" s="1"/>
      </t>
    </mdx>
    <mdx n="0" f="v">
      <t c="4" si="33">
        <n x="240"/>
        <n x="52"/>
        <n x="30"/>
        <n x="241" s="1"/>
      </t>
    </mdx>
    <mdx n="0" f="v">
      <t c="4" si="29">
        <n x="240"/>
        <n x="36"/>
        <n x="17"/>
        <n x="241" s="1"/>
      </t>
    </mdx>
    <mdx n="0" f="v">
      <t c="4" si="33">
        <n x="240"/>
        <n x="48"/>
        <n x="30"/>
        <n x="241" s="1"/>
      </t>
    </mdx>
    <mdx n="0" f="v">
      <t c="4" si="29">
        <n x="240"/>
        <n x="34"/>
        <n x="31"/>
        <n x="241" s="1"/>
      </t>
    </mdx>
    <mdx n="0" f="v">
      <t c="5" si="33">
        <n x="240"/>
        <n x="30"/>
        <n x="8"/>
        <n x="34"/>
        <n x="241" s="1"/>
      </t>
    </mdx>
    <mdx n="0" f="v">
      <t c="4" si="33">
        <n x="240"/>
        <n x="46"/>
        <n x="32"/>
        <n x="241" s="1"/>
      </t>
    </mdx>
    <mdx n="0" f="v">
      <t c="4" si="29">
        <n x="240"/>
        <n x="35"/>
        <n x="17"/>
        <n x="241" s="1"/>
      </t>
    </mdx>
    <mdx n="0" f="v">
      <t c="5" si="33">
        <n x="240"/>
        <n x="30"/>
        <n x="25"/>
        <n x="43"/>
        <n x="241" s="1"/>
      </t>
    </mdx>
    <mdx n="0" f="v">
      <t c="4" si="33">
        <n x="240"/>
        <n x="49"/>
        <n x="32"/>
        <n x="241" s="1"/>
      </t>
    </mdx>
    <mdx n="0" f="v">
      <t c="4" si="29">
        <n x="240"/>
        <n x="50"/>
        <n x="31"/>
        <n x="241" s="1"/>
      </t>
    </mdx>
    <mdx n="0" f="v">
      <t c="4" si="29">
        <n x="240"/>
        <n x="53"/>
        <n x="31"/>
        <n x="241" s="1"/>
      </t>
    </mdx>
    <mdx n="0" f="v">
      <t c="4" si="29">
        <n x="240"/>
        <n x="180"/>
        <n x="31"/>
        <n x="241" s="1"/>
      </t>
    </mdx>
    <mdx n="0" f="v">
      <t c="4" si="33">
        <n x="240"/>
        <n x="176"/>
        <n x="32"/>
        <n x="241" s="1"/>
      </t>
    </mdx>
    <mdx n="0" f="v">
      <t c="4" si="29">
        <n x="240"/>
        <n x="42"/>
        <n x="31"/>
        <n x="241" s="1"/>
      </t>
    </mdx>
    <mdx n="0" f="v">
      <t c="5" si="29">
        <n x="240"/>
        <n x="17"/>
        <n x="26"/>
        <n x="23"/>
        <n x="241" s="1"/>
      </t>
    </mdx>
    <mdx n="0" f="v">
      <t c="5" si="29">
        <n x="240"/>
        <n x="17"/>
        <n x="26"/>
        <n x="28"/>
        <n x="241" s="1"/>
      </t>
    </mdx>
    <mdx n="0" f="v">
      <t c="5" si="29">
        <n x="240"/>
        <n x="17"/>
        <n x="3"/>
        <n x="23"/>
        <n x="241" s="1"/>
      </t>
    </mdx>
    <mdx n="0" f="v">
      <t c="5" si="29">
        <n x="240"/>
        <n x="17"/>
        <n x="15"/>
        <n x="23"/>
        <n x="241" s="1"/>
      </t>
    </mdx>
    <mdx n="0" f="v">
      <t c="5" si="29">
        <n x="240"/>
        <n x="17"/>
        <n x="10"/>
        <n x="28"/>
        <n x="241" s="1"/>
      </t>
    </mdx>
    <mdx n="0" f="v">
      <t c="5" si="29">
        <n x="240"/>
        <n x="17"/>
        <n x="19"/>
        <n x="7"/>
        <n x="241" s="1"/>
      </t>
    </mdx>
    <mdx n="0" f="v">
      <t c="5" si="29">
        <n x="240"/>
        <n x="17"/>
        <n x="9"/>
        <n x="7"/>
        <n x="241" s="1"/>
      </t>
    </mdx>
    <mdx n="0" f="v">
      <t c="4" si="33">
        <n x="240"/>
        <n x="184"/>
        <n x="30"/>
        <n x="241" s="1"/>
      </t>
    </mdx>
    <mdx n="0" f="v">
      <t c="4" si="33">
        <n x="240"/>
        <n x="40"/>
        <n x="30"/>
        <n x="241" s="1"/>
      </t>
    </mdx>
    <mdx n="0" f="v">
      <t c="4" si="29">
        <n x="240"/>
        <n x="34"/>
        <n x="17"/>
        <n x="241" s="1"/>
      </t>
    </mdx>
    <mdx n="0" f="v">
      <t c="4" si="33">
        <n x="240"/>
        <n x="43"/>
        <n x="32"/>
        <n x="241" s="1"/>
      </t>
    </mdx>
    <mdx n="0" f="v">
      <t c="4" si="33">
        <n x="240"/>
        <n x="176"/>
        <n x="30"/>
        <n x="241" s="1"/>
      </t>
    </mdx>
    <mdx n="0" f="v">
      <t c="4" si="29">
        <n x="240"/>
        <n x="179"/>
        <n x="31"/>
        <n x="241" s="1"/>
      </t>
    </mdx>
    <mdx n="0" f="v">
      <t c="4" si="29">
        <n x="240"/>
        <n x="48"/>
        <n x="31"/>
        <n x="241" s="1"/>
      </t>
    </mdx>
    <mdx n="0" f="v">
      <t c="4" si="33">
        <n x="240"/>
        <n x="54"/>
        <n x="30"/>
        <n x="241" s="1"/>
      </t>
    </mdx>
    <mdx n="0" f="v">
      <t c="4" si="29">
        <n x="240"/>
        <n x="41"/>
        <n x="31"/>
        <n x="241" s="1"/>
      </t>
    </mdx>
    <mdx n="0" f="v">
      <t c="4" si="33">
        <n x="240"/>
        <n x="36"/>
        <n x="30"/>
        <n x="241" s="1"/>
      </t>
    </mdx>
    <mdx n="0" f="v">
      <t c="4" si="29">
        <n x="240"/>
        <n x="201"/>
        <n x="31"/>
        <n x="241" s="1"/>
      </t>
    </mdx>
    <mdx n="0" f="v">
      <t c="4" si="29">
        <n x="240"/>
        <n x="50"/>
        <n x="17"/>
        <n x="241" s="1"/>
      </t>
    </mdx>
    <mdx n="0" f="v">
      <t c="4" si="33">
        <n x="240"/>
        <n x="175"/>
        <n x="32"/>
        <n x="241" s="1"/>
      </t>
    </mdx>
    <mdx n="0" f="v">
      <t c="5" si="29">
        <n x="240"/>
        <n x="17"/>
        <n x="20"/>
        <n x="7"/>
        <n x="241" s="1"/>
      </t>
    </mdx>
    <mdx n="0" f="v">
      <t c="5" si="29">
        <n x="240"/>
        <n x="17"/>
        <n x="11"/>
        <n x="7"/>
        <n x="241" s="1"/>
      </t>
    </mdx>
    <mdx n="0" f="v">
      <t c="5" si="29">
        <n x="240"/>
        <n x="17"/>
        <n x="18"/>
        <n x="28"/>
        <n x="241" s="1"/>
      </t>
    </mdx>
    <mdx n="0" f="v">
      <t c="5" si="29">
        <n x="240"/>
        <n x="17"/>
        <n x="25"/>
        <n x="23"/>
        <n x="241" s="1"/>
      </t>
    </mdx>
    <mdx n="0" f="v">
      <t c="5" si="29">
        <n x="240"/>
        <n x="17"/>
        <n x="21"/>
        <n x="28"/>
        <n x="241" s="1"/>
      </t>
    </mdx>
    <mdx n="0" f="v">
      <t c="5" si="29">
        <n x="240"/>
        <n x="17"/>
        <n x="19"/>
        <n x="28"/>
        <n x="241" s="1"/>
      </t>
    </mdx>
    <mdx n="0" f="v">
      <t c="5" si="29">
        <n x="240"/>
        <n x="17"/>
        <n x="22"/>
        <n x="23"/>
        <n x="241" s="1"/>
      </t>
    </mdx>
    <mdx n="0" f="v">
      <t c="5" si="29">
        <n x="240"/>
        <n x="17"/>
        <n x="9"/>
        <n x="28"/>
        <n x="241" s="1"/>
      </t>
    </mdx>
    <mdx n="0" f="v">
      <t c="5" si="29">
        <n x="240"/>
        <n x="17"/>
        <n x="3"/>
        <n x="7"/>
        <n x="241" s="1"/>
      </t>
    </mdx>
    <mdx n="0" f="v">
      <t c="5" si="29">
        <n x="240"/>
        <n x="17"/>
        <n x="24"/>
        <n x="7"/>
        <n x="241" s="1"/>
      </t>
    </mdx>
    <mdx n="0" f="v">
      <t c="5" si="33">
        <n x="240"/>
        <n x="30"/>
        <n x="12"/>
        <n x="34"/>
        <n x="241" s="1"/>
      </t>
    </mdx>
    <mdx n="0" f="v">
      <t c="4" si="33">
        <n x="240"/>
        <n x="34"/>
        <n x="32"/>
        <n x="241" s="1"/>
      </t>
    </mdx>
    <mdx n="0" f="v">
      <t c="4" si="29">
        <n x="240"/>
        <n x="180"/>
        <n x="17"/>
        <n x="241" s="1"/>
      </t>
    </mdx>
    <mdx n="0" f="v">
      <t c="4" si="33">
        <n x="240"/>
        <n x="50"/>
        <n x="30"/>
        <n x="241" s="1"/>
      </t>
    </mdx>
    <mdx n="0" f="v">
      <t c="4" si="33">
        <n x="240"/>
        <n x="38"/>
        <n x="30"/>
        <n x="241" s="1"/>
      </t>
    </mdx>
    <mdx n="0" f="v">
      <t c="4" si="33">
        <n x="240"/>
        <n x="40"/>
        <n x="32"/>
        <n x="241" s="1"/>
      </t>
    </mdx>
    <mdx n="0" f="v">
      <t c="4" si="33">
        <n x="240"/>
        <n x="51"/>
        <n x="30"/>
        <n x="241" s="1"/>
      </t>
    </mdx>
    <mdx n="0" f="v">
      <t c="5" si="29">
        <n x="240"/>
        <n x="17"/>
        <n x="20"/>
        <n x="28"/>
        <n x="241" s="1"/>
      </t>
    </mdx>
    <mdx n="0" f="v">
      <t c="5" si="29">
        <n x="240"/>
        <n x="17"/>
        <n x="6"/>
        <n x="7"/>
        <n x="241" s="1"/>
      </t>
    </mdx>
    <mdx n="0" f="v">
      <t c="5" si="29">
        <n x="240"/>
        <n x="17"/>
        <n x="11"/>
        <n x="23"/>
        <n x="241" s="1"/>
      </t>
    </mdx>
    <mdx n="0" f="v">
      <t c="5" si="29">
        <n x="240"/>
        <n x="17"/>
        <n x="9"/>
        <n x="23"/>
        <n x="241" s="1"/>
      </t>
    </mdx>
    <mdx n="0" f="v">
      <t c="5" si="29">
        <n x="240"/>
        <n x="17"/>
        <n x="11"/>
        <n x="28"/>
        <n x="241" s="1"/>
      </t>
    </mdx>
    <mdx n="0" f="v">
      <t c="5" si="29">
        <n x="240"/>
        <n x="17"/>
        <n x="6"/>
        <n x="23"/>
        <n x="241" s="1"/>
      </t>
    </mdx>
    <mdx n="0" f="v">
      <t c="5" si="29">
        <n x="240"/>
        <n x="17"/>
        <n x="12"/>
        <n x="23"/>
        <n x="241" s="1"/>
      </t>
    </mdx>
    <mdx n="0" f="v">
      <t c="5" si="29">
        <n x="240"/>
        <n x="17"/>
        <n x="15"/>
        <n x="28"/>
        <n x="241" s="1"/>
      </t>
    </mdx>
    <mdx n="0" f="v">
      <t c="5" si="29">
        <n x="240"/>
        <n x="17"/>
        <n x="4"/>
        <n x="7"/>
        <n x="241" s="1"/>
      </t>
    </mdx>
    <mdx n="0" f="v">
      <t c="5" si="29">
        <n x="240"/>
        <n x="17"/>
        <n x="3"/>
        <n x="28"/>
        <n x="241" s="1"/>
      </t>
    </mdx>
    <mdx n="0" f="v">
      <t c="5" si="29">
        <n x="240"/>
        <n x="17"/>
        <n x="24"/>
        <n x="28"/>
        <n x="241" s="1"/>
      </t>
    </mdx>
    <mdx n="0" f="v">
      <t c="5" si="29">
        <n x="240"/>
        <n x="17"/>
        <n x="10"/>
        <n x="23"/>
        <n x="241" s="1"/>
      </t>
    </mdx>
    <mdx n="0" f="v">
      <t c="5" si="29">
        <n x="240"/>
        <n x="17"/>
        <n x="5"/>
        <n x="7"/>
        <n x="241" s="1"/>
      </t>
    </mdx>
    <mdx n="0" f="v">
      <t c="4" si="29">
        <n x="204"/>
        <n x="184"/>
        <n x="31"/>
        <n x="241" s="1"/>
      </t>
    </mdx>
    <mdx n="0" f="v">
      <t c="4" si="29">
        <n x="204"/>
        <n x="53"/>
        <n x="31"/>
        <n x="241" s="1"/>
      </t>
    </mdx>
    <mdx n="0" f="v">
      <t c="4" si="29">
        <n x="204"/>
        <n x="54"/>
        <n x="31"/>
        <n x="241" s="1"/>
      </t>
    </mdx>
    <mdx n="0" f="v">
      <t c="4" si="29">
        <n x="204"/>
        <n x="43"/>
        <n x="31"/>
        <n x="241" s="1"/>
      </t>
    </mdx>
    <mdx n="0" f="v">
      <t c="4" si="29">
        <n x="204"/>
        <n x="182"/>
        <n x="31"/>
        <n x="241" s="1"/>
      </t>
    </mdx>
    <mdx n="0" f="v">
      <t c="4" si="29">
        <n x="204"/>
        <n x="36"/>
        <n x="31"/>
        <n x="241" s="1"/>
      </t>
    </mdx>
    <mdx n="0" f="v">
      <t c="4" si="29">
        <n x="204"/>
        <n x="34"/>
        <n x="31"/>
        <n x="241" s="1"/>
      </t>
    </mdx>
    <mdx n="0" f="v">
      <t c="4" si="29">
        <n x="204"/>
        <n x="37"/>
        <n x="31"/>
        <n x="241" s="1"/>
      </t>
    </mdx>
    <mdx n="0" f="v">
      <t c="4" si="29">
        <n x="204"/>
        <n x="39"/>
        <n x="31"/>
        <n x="241" s="1"/>
      </t>
    </mdx>
    <mdx n="0" f="v">
      <t c="4" si="29">
        <n x="204"/>
        <n x="50"/>
        <n x="31"/>
        <n x="241" s="1"/>
      </t>
    </mdx>
    <mdx n="0" f="v">
      <t c="4" si="29">
        <n x="204"/>
        <n x="35"/>
        <n x="31"/>
        <n x="241" s="1"/>
      </t>
    </mdx>
    <mdx n="0" f="v">
      <t c="4" si="29">
        <n x="204"/>
        <n x="46"/>
        <n x="31"/>
        <n x="241" s="1"/>
      </t>
    </mdx>
    <mdx n="0" f="v">
      <t c="4" si="29">
        <n x="204"/>
        <n x="41"/>
        <n x="31"/>
        <n x="241" s="1"/>
      </t>
    </mdx>
    <mdx n="0" f="v">
      <t c="4" si="29">
        <n x="204"/>
        <n x="42"/>
        <n x="31"/>
        <n x="241" s="1"/>
      </t>
    </mdx>
    <mdx n="0" f="v">
      <t c="4" si="29">
        <n x="204"/>
        <n x="180"/>
        <n x="31"/>
        <n x="241" s="1"/>
      </t>
    </mdx>
    <mdx n="0" f="v">
      <t c="4" si="29">
        <n x="204"/>
        <n x="48"/>
        <n x="31"/>
        <n x="241" s="1"/>
      </t>
    </mdx>
    <mdx n="0" f="v">
      <t c="4" si="29">
        <n x="204"/>
        <n x="52"/>
        <n x="31"/>
        <n x="241" s="1"/>
      </t>
    </mdx>
    <mdx n="0" f="v">
      <t c="4" si="29">
        <n x="204"/>
        <n x="38"/>
        <n x="31"/>
        <n x="241" s="1"/>
      </t>
    </mdx>
    <mdx n="0" f="v">
      <t c="4" si="29">
        <n x="204"/>
        <n x="45"/>
        <n x="31"/>
        <n x="241" s="1"/>
      </t>
    </mdx>
    <mdx n="0" f="v">
      <t c="4" si="29">
        <n x="204"/>
        <n x="179"/>
        <n x="31"/>
        <n x="241" s="1"/>
      </t>
    </mdx>
    <mdx n="0" f="v">
      <t c="4" si="29">
        <n x="204"/>
        <n x="176"/>
        <n x="31"/>
        <n x="241" s="1"/>
      </t>
    </mdx>
    <mdx n="0" f="v">
      <t c="4" si="29">
        <n x="204"/>
        <n x="49"/>
        <n x="31"/>
        <n x="241" s="1"/>
      </t>
    </mdx>
    <mdx n="0" f="v">
      <t c="4" si="29">
        <n x="204"/>
        <n x="44"/>
        <n x="31"/>
        <n x="241" s="1"/>
      </t>
    </mdx>
    <mdx n="0" f="v">
      <t c="4" si="29">
        <n x="204"/>
        <n x="51"/>
        <n x="31"/>
        <n x="241" s="1"/>
      </t>
    </mdx>
    <mdx n="0" f="v">
      <t c="4" si="29">
        <n x="204"/>
        <n x="47"/>
        <n x="31"/>
        <n x="241" s="1"/>
      </t>
    </mdx>
    <mdx n="0" f="v">
      <t c="4" si="29">
        <n x="204"/>
        <n x="201"/>
        <n x="31"/>
        <n x="241" s="1"/>
      </t>
    </mdx>
    <mdx n="0" f="v">
      <t c="4" si="29">
        <n x="204"/>
        <n x="40"/>
        <n x="31"/>
        <n x="241" s="1"/>
      </t>
    </mdx>
    <mdx n="0" f="v">
      <t c="4" si="29">
        <n x="204"/>
        <n x="175"/>
        <n x="31"/>
        <n x="241" s="1"/>
      </t>
    </mdx>
    <mdx n="0" f="v">
      <t c="4" si="33">
        <n x="240"/>
        <n x="30"/>
        <n x="175"/>
        <n x="241" s="1"/>
      </t>
    </mdx>
    <mdx n="0" f="v">
      <t c="4" si="29">
        <n x="204"/>
        <n x="54"/>
        <n x="17"/>
        <n x="241" s="1"/>
      </t>
    </mdx>
    <mdx n="0" f="v">
      <t c="4" si="33">
        <n x="240"/>
        <n x="32"/>
        <n x="128"/>
        <n x="241" s="1"/>
      </t>
    </mdx>
    <mdx n="0" f="v">
      <t c="4" si="33">
        <n x="204"/>
        <n x="48"/>
        <n x="32"/>
        <n x="241" s="1"/>
      </t>
    </mdx>
    <mdx n="0" f="v">
      <t c="4" si="33">
        <n x="204"/>
        <n x="44"/>
        <n x="32"/>
        <n x="241" s="1"/>
      </t>
    </mdx>
    <mdx n="0" f="v">
      <t c="4" si="33">
        <n x="204"/>
        <n x="30"/>
        <n x="114"/>
        <n x="241" s="1"/>
      </t>
    </mdx>
    <mdx n="0" f="v">
      <t c="4" si="33">
        <n x="240"/>
        <n x="30"/>
        <n x="128"/>
        <n x="241" s="1"/>
      </t>
    </mdx>
    <mdx n="0" f="v">
      <t c="4" si="33">
        <n x="204"/>
        <n x="41"/>
        <n x="32"/>
        <n x="241" s="1"/>
      </t>
    </mdx>
    <mdx n="0" f="v">
      <t c="4" si="29">
        <n x="240"/>
        <n x="17"/>
        <n x="114"/>
        <n x="241" s="1"/>
      </t>
    </mdx>
    <mdx n="0" f="v">
      <t c="4" si="33">
        <n x="204"/>
        <n x="32"/>
        <n x="87"/>
        <n x="241" s="1"/>
      </t>
    </mdx>
    <mdx n="0" f="v">
      <t c="4" si="33">
        <n x="204"/>
        <n x="180"/>
        <n x="30"/>
        <n x="241" s="1"/>
      </t>
    </mdx>
    <mdx n="0" f="v">
      <t c="4" si="33">
        <n x="204"/>
        <n x="30"/>
        <n x="156"/>
        <n x="241" s="1"/>
      </t>
    </mdx>
    <mdx n="0" f="v">
      <t c="4" si="33">
        <n x="240"/>
        <n x="30"/>
        <n x="198"/>
        <n x="241" s="1"/>
      </t>
    </mdx>
    <mdx n="0" f="v">
      <t c="4" si="29">
        <n x="240"/>
        <n x="17"/>
        <n x="135"/>
        <n x="241" s="1"/>
      </t>
    </mdx>
    <mdx n="0" f="v">
      <t c="5" si="29">
        <n x="204"/>
        <n x="17"/>
        <n x="16"/>
        <n x="23"/>
        <n x="241" s="1"/>
      </t>
    </mdx>
    <mdx n="0" f="v">
      <t c="5" si="33">
        <n x="204"/>
        <n x="30"/>
        <n x="12"/>
        <n x="43"/>
        <n x="241" s="1"/>
      </t>
    </mdx>
    <mdx n="0" f="v">
      <t c="5" si="29">
        <n x="204"/>
        <n x="17"/>
        <n x="8"/>
        <n x="28"/>
        <n x="241" s="1"/>
      </t>
    </mdx>
    <mdx n="0" f="v">
      <t c="5" si="33">
        <n x="204"/>
        <n x="30"/>
        <n x="203"/>
        <n x="34"/>
        <n x="241" s="1"/>
      </t>
    </mdx>
    <mdx n="0" f="v">
      <t c="5" si="29">
        <n x="204"/>
        <n x="17"/>
        <n x="3"/>
        <n x="7"/>
        <n x="241" s="1"/>
      </t>
    </mdx>
    <mdx n="0" f="v">
      <t c="4" si="33">
        <n x="204"/>
        <n x="46"/>
        <n x="30"/>
        <n x="241" s="1"/>
      </t>
    </mdx>
    <mdx n="0" f="v">
      <t c="4" si="33">
        <n x="204"/>
        <n x="45"/>
        <n x="32"/>
        <n x="241" s="1"/>
      </t>
    </mdx>
    <mdx n="0" f="v">
      <t c="4" si="29">
        <n x="204"/>
        <n x="44"/>
        <n x="17"/>
        <n x="241" s="1"/>
      </t>
    </mdx>
    <mdx n="0" f="v">
      <t c="4" si="33">
        <n x="204"/>
        <n x="30"/>
        <n x="200"/>
        <n x="241" s="1"/>
      </t>
    </mdx>
    <mdx n="0" f="v">
      <t c="4" si="29">
        <n x="240"/>
        <n x="31"/>
        <n x="192"/>
        <n x="241" s="1"/>
      </t>
    </mdx>
    <mdx n="0" f="v">
      <t c="4" si="33">
        <n x="204"/>
        <n x="30"/>
        <n x="175"/>
        <n x="241" s="1"/>
      </t>
    </mdx>
    <mdx n="0" f="v">
      <t c="4" si="33">
        <n x="240"/>
        <n x="32"/>
        <n x="170"/>
        <n x="241" s="1"/>
      </t>
    </mdx>
    <mdx n="0" f="v">
      <t c="5" si="33">
        <n x="204"/>
        <n x="30"/>
        <n x="14"/>
        <n x="43"/>
        <n x="241" s="1"/>
      </t>
    </mdx>
    <mdx n="0" f="v">
      <t c="5" si="29">
        <n x="204"/>
        <n x="17"/>
        <n x="26"/>
        <n x="7"/>
        <n x="241" s="1"/>
      </t>
    </mdx>
    <mdx n="0" f="v">
      <t c="5" si="29">
        <n x="204"/>
        <n x="17"/>
        <n x="203"/>
        <n x="7"/>
        <n x="241" s="1"/>
      </t>
    </mdx>
    <mdx n="0" f="v">
      <t c="4" si="29">
        <n x="204"/>
        <n x="41"/>
        <n x="17"/>
        <n x="241" s="1"/>
      </t>
    </mdx>
    <mdx n="0" f="v">
      <t c="4" si="33">
        <n x="204"/>
        <n x="43"/>
        <n x="30"/>
        <n x="241" s="1"/>
      </t>
    </mdx>
    <mdx n="0" f="v">
      <t c="4" si="33">
        <n x="204"/>
        <n x="36"/>
        <n x="32"/>
        <n x="241" s="1"/>
      </t>
    </mdx>
    <mdx n="0" f="v">
      <t c="4" si="33">
        <n x="204"/>
        <n x="52"/>
        <n x="32"/>
        <n x="241" s="1"/>
      </t>
    </mdx>
    <mdx n="0" f="v">
      <t c="4" si="33">
        <n x="204"/>
        <n x="30"/>
        <n x="170"/>
        <n x="241" s="1"/>
      </t>
    </mdx>
    <mdx n="0" f="v">
      <t c="4" si="33">
        <n x="240"/>
        <n x="30"/>
        <n x="99"/>
        <n x="241" s="1"/>
      </t>
    </mdx>
    <mdx n="0" f="v">
      <t c="5" si="29">
        <n x="204"/>
        <n x="17"/>
        <n x="11"/>
        <n x="28"/>
        <n x="241" s="1"/>
      </t>
    </mdx>
    <mdx n="0" f="v">
      <t c="4" si="29">
        <n x="204"/>
        <n x="31"/>
        <n x="151"/>
        <n x="241" s="1"/>
      </t>
    </mdx>
    <mdx n="0" f="v">
      <t c="4" si="33">
        <n x="204"/>
        <n x="30"/>
        <n x="166"/>
        <n x="241" s="1"/>
      </t>
    </mdx>
    <mdx n="0" f="v">
      <t c="5" si="33">
        <n x="204"/>
        <n x="30"/>
        <n x="12"/>
        <n x="34"/>
        <n x="241" s="1"/>
      </t>
    </mdx>
    <mdx n="0" f="v">
      <t c="5" si="29">
        <n x="204"/>
        <n x="17"/>
        <n x="2"/>
        <n x="23"/>
        <n x="241" s="1"/>
      </t>
    </mdx>
    <mdx n="0" f="v">
      <t c="4" si="33">
        <n x="240"/>
        <n x="30"/>
        <n x="167"/>
        <n x="241" s="1"/>
      </t>
    </mdx>
    <mdx n="0" f="v">
      <t c="5" si="29">
        <n x="204"/>
        <n x="17"/>
        <n x="202"/>
        <n x="28"/>
        <n x="241" s="1"/>
      </t>
    </mdx>
    <mdx n="0" f="v">
      <t c="4" si="29">
        <n x="204"/>
        <n x="17"/>
        <n x="187"/>
        <n x="241" s="1"/>
      </t>
    </mdx>
    <mdx n="0" f="v">
      <t c="4" si="29">
        <n x="204"/>
        <n x="17"/>
        <n x="196"/>
        <n x="241" s="1"/>
      </t>
    </mdx>
    <mdx n="0" f="v">
      <t c="4" si="33">
        <n x="240"/>
        <n x="30"/>
        <n x="52"/>
        <n x="241" s="1"/>
      </t>
    </mdx>
    <mdx n="0" f="v">
      <t c="4" si="33">
        <n x="240"/>
        <n x="32"/>
        <n x="166"/>
        <n x="241" s="1"/>
      </t>
    </mdx>
    <mdx n="0" f="v">
      <t c="4" si="33">
        <n x="204"/>
        <n x="175"/>
        <n x="32"/>
        <n x="241" s="1"/>
      </t>
    </mdx>
    <mdx n="0" f="v">
      <t c="4" si="33">
        <n x="240"/>
        <n x="32"/>
        <n x="87"/>
        <n x="241" s="1"/>
      </t>
    </mdx>
    <mdx n="0" f="v">
      <t c="4" si="33">
        <n x="204"/>
        <n x="32"/>
        <n x="151"/>
        <n x="241" s="1"/>
      </t>
    </mdx>
    <mdx n="0" f="v">
      <t c="4" si="29">
        <n x="240"/>
        <n x="17"/>
        <n x="99"/>
        <n x="241" s="1"/>
      </t>
    </mdx>
    <mdx n="0" f="v">
      <t c="5" si="29">
        <n x="204"/>
        <n x="17"/>
        <n x="12"/>
        <n x="23"/>
        <n x="241" s="1"/>
      </t>
    </mdx>
    <mdx n="0" f="v">
      <t c="5" si="33">
        <n x="204"/>
        <n x="30"/>
        <n x="13"/>
        <n x="34"/>
        <n x="241" s="1"/>
      </t>
    </mdx>
    <mdx n="0" f="v">
      <t c="4" si="33">
        <n x="240"/>
        <n x="32"/>
        <n x="118"/>
        <n x="241" s="1"/>
      </t>
    </mdx>
    <mdx n="0" f="v">
      <t c="5" si="33">
        <n x="204"/>
        <n x="30"/>
        <n x="18"/>
        <n x="35"/>
        <n x="241" s="1"/>
      </t>
    </mdx>
    <mdx n="0" f="v">
      <t c="5" si="29">
        <n x="204"/>
        <n x="17"/>
        <n x="13"/>
        <n x="23"/>
        <n x="241" s="1"/>
      </t>
    </mdx>
    <mdx n="0" f="v">
      <t c="4" si="29">
        <n x="204"/>
        <n x="180"/>
        <n x="17"/>
        <n x="241" s="1"/>
      </t>
    </mdx>
    <mdx n="0" f="v">
      <t c="4" si="29">
        <n x="204"/>
        <n x="31"/>
        <n x="166"/>
        <n x="241" s="1"/>
      </t>
    </mdx>
    <mdx n="0" f="v">
      <t c="4" si="33">
        <n x="204"/>
        <n x="32"/>
        <n x="180"/>
        <n x="241" s="1"/>
      </t>
    </mdx>
    <mdx n="0" f="v">
      <t c="4" si="33">
        <n x="204"/>
        <n x="32"/>
        <n x="83"/>
        <n x="241" s="1"/>
      </t>
    </mdx>
    <mdx n="0" f="v">
      <t c="5" si="33">
        <n x="204"/>
        <n x="30"/>
        <n x="5"/>
        <n x="34"/>
        <n x="241" s="1"/>
      </t>
    </mdx>
    <mdx n="0" f="v">
      <t c="4" si="29">
        <n x="240"/>
        <n x="31"/>
        <n x="83"/>
        <n x="241" s="1"/>
      </t>
    </mdx>
    <mdx n="0" f="v">
      <t c="4" si="33">
        <n x="240"/>
        <n x="30"/>
        <n x="135"/>
        <n x="241" s="1"/>
      </t>
    </mdx>
    <mdx n="0" f="v">
      <t c="4" si="29">
        <n x="240"/>
        <n x="31"/>
        <n x="114"/>
        <n x="241" s="1"/>
      </t>
    </mdx>
    <mdx n="0" f="v">
      <t c="4" si="33">
        <n x="204"/>
        <n x="32"/>
        <n x="101"/>
        <n x="241" s="1"/>
      </t>
    </mdx>
    <mdx n="0" f="v">
      <t c="4" si="33">
        <n x="204"/>
        <n x="34"/>
        <n x="30"/>
        <n x="241" s="1"/>
      </t>
    </mdx>
    <mdx n="0" f="v">
      <t c="4" si="33">
        <n x="204"/>
        <n x="179"/>
        <n x="32"/>
        <n x="241" s="1"/>
      </t>
    </mdx>
    <mdx n="0" f="v">
      <t c="4" si="33">
        <n x="204"/>
        <n x="32"/>
        <n x="137"/>
        <n x="241" s="1"/>
      </t>
    </mdx>
    <mdx n="0" f="v">
      <t c="4" si="33">
        <n x="204"/>
        <n x="30"/>
        <n x="179"/>
        <n x="241" s="1"/>
      </t>
    </mdx>
    <mdx n="0" f="v">
      <t c="4" si="33">
        <n x="204"/>
        <n x="32"/>
        <n x="172"/>
        <n x="241" s="1"/>
      </t>
    </mdx>
    <mdx n="0" f="v">
      <t c="4" si="33">
        <n x="204"/>
        <n x="39"/>
        <n x="32"/>
        <n x="241" s="1"/>
      </t>
    </mdx>
    <mdx n="0" f="v">
      <t c="4" si="33">
        <n x="204"/>
        <n x="32"/>
        <n x="42"/>
        <n x="241" s="1"/>
      </t>
    </mdx>
    <mdx n="0" f="v">
      <t c="4" si="29">
        <n x="204"/>
        <n x="34"/>
        <n x="17"/>
        <n x="241" s="1"/>
      </t>
    </mdx>
    <mdx n="0" f="v">
      <t c="4" si="33">
        <n x="240"/>
        <n x="30"/>
        <n x="101"/>
        <n x="241" s="1"/>
      </t>
    </mdx>
    <mdx n="0" f="v">
      <t c="4" si="33">
        <n x="204"/>
        <n x="46"/>
        <n x="32"/>
        <n x="241" s="1"/>
      </t>
    </mdx>
    <mdx n="0" f="v">
      <t c="4" si="29">
        <n x="240"/>
        <n x="31"/>
        <n x="190"/>
        <n x="241" s="1"/>
      </t>
    </mdx>
    <mdx n="0" f="v">
      <t c="4" si="29">
        <n x="204"/>
        <n x="31"/>
        <n x="101"/>
        <n x="241" s="1"/>
      </t>
    </mdx>
    <mdx n="0" f="v">
      <t c="4" si="29">
        <n x="204"/>
        <n x="201"/>
        <n x="17"/>
        <n x="241" s="1"/>
      </t>
    </mdx>
    <mdx n="0" f="v">
      <t c="4" si="29">
        <n x="204"/>
        <n x="31"/>
        <n x="115"/>
        <n x="241" s="1"/>
      </t>
    </mdx>
    <mdx n="0" f="v">
      <t c="4" si="29">
        <n x="204"/>
        <n x="40"/>
        <n x="17"/>
        <n x="241" s="1"/>
      </t>
    </mdx>
    <mdx n="0" f="v">
      <t c="4" si="29">
        <n x="240"/>
        <n x="31"/>
        <n x="113"/>
        <n x="241" s="1"/>
      </t>
    </mdx>
    <mdx n="0" f="v">
      <t c="4" si="33">
        <n x="204"/>
        <n x="42"/>
        <n x="30"/>
        <n x="241" s="1"/>
      </t>
    </mdx>
    <mdx n="0" f="v">
      <t c="4" si="33">
        <n x="240"/>
        <n x="32"/>
        <n x="181"/>
        <n x="241" s="1"/>
      </t>
    </mdx>
    <mdx n="0" f="v">
      <t c="4" si="29">
        <n x="240"/>
        <n x="17"/>
        <n x="53"/>
        <n x="241" s="1"/>
      </t>
    </mdx>
    <mdx n="0" f="v">
      <t c="4" si="29">
        <n x="204"/>
        <n x="17"/>
        <n x="178"/>
        <n x="241" s="1"/>
      </t>
    </mdx>
    <mdx n="0" f="v">
      <t c="4" si="33">
        <n x="204"/>
        <n x="40"/>
        <n x="32"/>
        <n x="241" s="1"/>
      </t>
    </mdx>
    <mdx n="0" f="v">
      <t c="4" si="33">
        <n x="204"/>
        <n x="184"/>
        <n x="32"/>
        <n x="241" s="1"/>
      </t>
    </mdx>
    <mdx n="0" f="v">
      <t c="4" si="29">
        <n x="204"/>
        <n x="31"/>
        <n x="183"/>
        <n x="241" s="1"/>
      </t>
    </mdx>
    <mdx n="0" f="v">
      <t c="4" si="29">
        <n x="204"/>
        <n x="31"/>
        <n x="154"/>
        <n x="241" s="1"/>
      </t>
    </mdx>
    <mdx n="0" f="v">
      <t c="4" si="33">
        <n x="240"/>
        <n x="32"/>
        <n x="177"/>
        <n x="241" s="1"/>
      </t>
    </mdx>
    <mdx n="0" f="v">
      <t c="4" si="33">
        <n x="204"/>
        <n x="201"/>
        <n x="30"/>
        <n x="241" s="1"/>
      </t>
    </mdx>
    <mdx n="0" f="v">
      <t c="4" si="29">
        <n x="240"/>
        <n x="17"/>
        <n x="139"/>
        <n x="241" s="1"/>
      </t>
    </mdx>
    <mdx n="0" f="v">
      <t c="5" si="33">
        <n x="204"/>
        <n x="30"/>
        <n x="24"/>
        <n x="43"/>
        <n x="241" s="1"/>
      </t>
    </mdx>
    <mdx n="0" f="v">
      <t c="5" si="33">
        <n x="204"/>
        <n x="30"/>
        <n x="2"/>
        <n x="35"/>
        <n x="241" s="1"/>
      </t>
    </mdx>
    <mdx n="0" f="v">
      <t c="5" si="29">
        <n x="204"/>
        <n x="17"/>
        <n x="14"/>
        <n x="28"/>
        <n x="241" s="1"/>
      </t>
    </mdx>
    <mdx n="0" f="v">
      <t c="5" si="33">
        <n x="204"/>
        <n x="30"/>
        <n x="14"/>
        <n x="34"/>
        <n x="241" s="1"/>
      </t>
    </mdx>
    <mdx n="0" f="v">
      <t c="5" si="29">
        <n x="204"/>
        <n x="17"/>
        <n x="18"/>
        <n x="7"/>
        <n x="241" s="1"/>
      </t>
    </mdx>
    <mdx n="0" f="v">
      <t c="4" si="33">
        <n x="240"/>
        <n x="32"/>
        <n x="161"/>
        <n x="241" s="1"/>
      </t>
    </mdx>
    <mdx n="0" f="v">
      <t c="5" si="29">
        <n x="204"/>
        <n x="17"/>
        <n x="2"/>
        <n x="7"/>
        <n x="241" s="1"/>
      </t>
    </mdx>
    <mdx n="0" f="v">
      <t c="4" si="33">
        <n x="204"/>
        <n x="32"/>
        <n x="125"/>
        <n x="241" s="1"/>
      </t>
    </mdx>
    <mdx n="0" f="v">
      <t c="4" si="29">
        <n x="204"/>
        <n x="17"/>
        <n x="117"/>
        <n x="241" s="1"/>
      </t>
    </mdx>
    <mdx n="0" f="v">
      <t c="4" si="33">
        <n x="204"/>
        <n x="44"/>
        <n x="30"/>
        <n x="241" s="1"/>
      </t>
    </mdx>
    <mdx n="0" f="v">
      <t c="4" si="33">
        <n x="204"/>
        <n x="32"/>
        <n x="50"/>
        <n x="241" s="1"/>
      </t>
    </mdx>
    <mdx n="0" f="v">
      <t c="4" si="29">
        <n x="204"/>
        <n x="17"/>
        <n x="114"/>
        <n x="241" s="1"/>
      </t>
    </mdx>
    <mdx n="0" f="v">
      <t c="4" si="33">
        <n x="204"/>
        <n x="49"/>
        <n x="30"/>
        <n x="241" s="1"/>
      </t>
    </mdx>
    <mdx n="0" f="v">
      <t c="4" si="29">
        <n x="204"/>
        <n x="31"/>
        <n x="40"/>
        <n x="241" s="1"/>
      </t>
    </mdx>
    <mdx n="0" f="v">
      <t c="4" si="29">
        <n x="240"/>
        <n x="17"/>
        <n x="115"/>
        <n x="241" s="1"/>
      </t>
    </mdx>
    <mdx n="0" f="v">
      <t c="4" si="29">
        <n x="204"/>
        <n x="31"/>
        <n x="114"/>
        <n x="241" s="1"/>
      </t>
    </mdx>
    <mdx n="0" f="v">
      <t c="4" si="33">
        <n x="204"/>
        <n x="43"/>
        <n x="32"/>
        <n x="241" s="1"/>
      </t>
    </mdx>
    <mdx n="0" f="v">
      <t c="4" si="33">
        <n x="204"/>
        <n x="30"/>
        <n x="53"/>
        <n x="241" s="1"/>
      </t>
    </mdx>
    <mdx n="0" f="v">
      <t c="4" si="29">
        <n x="240"/>
        <n x="17"/>
        <n x="163"/>
        <n x="241" s="1"/>
      </t>
    </mdx>
    <mdx n="0" f="v">
      <t c="4" si="29">
        <n x="204"/>
        <n x="49"/>
        <n x="17"/>
        <n x="241" s="1"/>
      </t>
    </mdx>
    <mdx n="0" f="v">
      <t c="4" si="33">
        <n x="240"/>
        <n x="30"/>
        <n x="156"/>
        <n x="241" s="1"/>
      </t>
    </mdx>
    <mdx n="0" f="v">
      <t c="4" si="29">
        <n x="240"/>
        <n x="17"/>
        <n x="107"/>
        <n x="241" s="1"/>
      </t>
    </mdx>
    <mdx n="0" f="v">
      <t c="4" si="29">
        <n x="204"/>
        <n x="17"/>
        <n x="180"/>
        <n x="241" s="1"/>
      </t>
    </mdx>
    <mdx n="0" f="v">
      <t c="5" si="33">
        <n x="204"/>
        <n x="30"/>
        <n x="6"/>
        <n x="34"/>
        <n x="241" s="1"/>
      </t>
    </mdx>
    <mdx n="0" f="v">
      <t c="5" si="29">
        <n x="204"/>
        <n x="17"/>
        <n x="12"/>
        <n x="7"/>
        <n x="241" s="1"/>
      </t>
    </mdx>
    <mdx n="0" f="v">
      <t c="5" si="33">
        <n x="204"/>
        <n x="30"/>
        <n x="4"/>
        <n x="35"/>
        <n x="241" s="1"/>
      </t>
    </mdx>
    <mdx n="0" f="v">
      <t c="5" si="29">
        <n x="204"/>
        <n x="17"/>
        <n x="20"/>
        <n x="28"/>
        <n x="241" s="1"/>
      </t>
    </mdx>
    <mdx n="0" f="v">
      <t c="4" si="29">
        <n x="204"/>
        <n x="31"/>
        <n x="192"/>
        <n x="241" s="1"/>
      </t>
    </mdx>
    <mdx n="0" f="v">
      <t c="5" si="29">
        <n x="204"/>
        <n x="17"/>
        <n x="12"/>
        <n x="28"/>
        <n x="241" s="1"/>
      </t>
    </mdx>
    <mdx n="0" f="v">
      <t c="4" si="29">
        <n x="204"/>
        <n x="31"/>
        <n x="149"/>
        <n x="241" s="1"/>
      </t>
    </mdx>
    <mdx n="0" f="v">
      <t c="4" si="33">
        <n x="240"/>
        <n x="32"/>
        <n x="178"/>
        <n x="241" s="1"/>
      </t>
    </mdx>
    <mdx n="0" f="v">
      <t c="4" si="29">
        <n x="240"/>
        <n x="31"/>
        <n x="46"/>
        <n x="241" s="1"/>
      </t>
    </mdx>
    <mdx n="0" f="v">
      <t c="4" si="33">
        <n x="204"/>
        <n x="32"/>
        <n x="183"/>
        <n x="241" s="1"/>
      </t>
    </mdx>
    <mdx n="0" f="v">
      <t c="4" si="33">
        <n x="240"/>
        <n x="30"/>
        <n x="171"/>
        <n x="241" s="1"/>
      </t>
    </mdx>
    <mdx n="0" f="v">
      <t c="4" si="29">
        <n x="240"/>
        <n x="31"/>
        <n x="128"/>
        <n x="241" s="1"/>
      </t>
    </mdx>
    <mdx n="0" f="v">
      <t c="4" si="29">
        <n x="240"/>
        <n x="31"/>
        <n x="42"/>
        <n x="241" s="1"/>
      </t>
    </mdx>
    <mdx n="0" f="v">
      <t c="5" si="33">
        <n x="204"/>
        <n x="30"/>
        <n x="21"/>
        <n x="35"/>
        <n x="241" s="1"/>
      </t>
    </mdx>
    <mdx n="0" f="v">
      <t c="5" si="33">
        <n x="204"/>
        <n x="30"/>
        <n x="25"/>
        <n x="43"/>
        <n x="241" s="1"/>
      </t>
    </mdx>
    <mdx n="0" f="v">
      <t c="4" si="33">
        <n x="240"/>
        <n x="30"/>
        <n x="91"/>
        <n x="241" s="1"/>
      </t>
    </mdx>
    <mdx n="0" f="v">
      <t c="5" si="29">
        <n x="204"/>
        <n x="17"/>
        <n x="10"/>
        <n x="28"/>
        <n x="241" s="1"/>
      </t>
    </mdx>
    <mdx n="0" f="v">
      <t c="4" si="33">
        <n x="204"/>
        <n x="32"/>
        <n x="154"/>
        <n x="241" s="1"/>
      </t>
    </mdx>
    <mdx n="0" f="v">
      <t c="5" si="29">
        <n x="204"/>
        <n x="17"/>
        <n x="24"/>
        <n x="7"/>
        <n x="241" s="1"/>
      </t>
    </mdx>
    <mdx n="0" f="v">
      <t c="4" si="33">
        <n x="204"/>
        <n x="30"/>
        <n x="108"/>
        <n x="241" s="1"/>
      </t>
    </mdx>
    <mdx n="0" f="v">
      <t c="4" si="29">
        <n x="204"/>
        <n x="17"/>
        <n x="91"/>
        <n x="241" s="1"/>
      </t>
    </mdx>
    <mdx n="0" f="v">
      <t c="4" si="33">
        <n x="240"/>
        <n x="30"/>
        <n x="109"/>
        <n x="241" s="1"/>
      </t>
    </mdx>
    <mdx n="0" f="v">
      <t c="4" si="33">
        <n x="204"/>
        <n x="30"/>
        <n x="124"/>
        <n x="241" s="1"/>
      </t>
    </mdx>
    <mdx n="0" f="v">
      <t c="4" si="33">
        <n x="204"/>
        <n x="32"/>
        <n x="117"/>
        <n x="241" s="1"/>
      </t>
    </mdx>
    <mdx n="0" f="v">
      <t c="4" si="33">
        <n x="204"/>
        <n x="30"/>
        <n x="94"/>
        <n x="241" s="1"/>
      </t>
    </mdx>
    <mdx n="0" f="v">
      <t c="5" si="33">
        <n x="204"/>
        <n x="30"/>
        <n x="16"/>
        <n x="34"/>
        <n x="241" s="1"/>
      </t>
    </mdx>
    <mdx n="0" f="v">
      <t c="5" si="29">
        <n x="204"/>
        <n x="17"/>
        <n x="25"/>
        <n x="23"/>
        <n x="241" s="1"/>
      </t>
    </mdx>
    <mdx n="0" f="v">
      <t c="4" si="29">
        <n x="204"/>
        <n x="17"/>
        <n x="200"/>
        <n x="241" s="1"/>
      </t>
    </mdx>
    <mdx n="0" f="v">
      <t c="4" si="29">
        <n x="204"/>
        <n x="31"/>
        <n x="160"/>
        <n x="241" s="1"/>
      </t>
    </mdx>
    <mdx n="0" f="v">
      <t c="4" si="33">
        <n x="204"/>
        <n x="30"/>
        <n x="37"/>
        <n x="241" s="1"/>
      </t>
    </mdx>
    <mdx n="0" f="v">
      <t c="4" si="29">
        <n x="240"/>
        <n x="31"/>
        <n x="178"/>
        <n x="241" s="1"/>
      </t>
    </mdx>
    <mdx n="0" f="v">
      <t c="4" si="33">
        <n x="240"/>
        <n x="32"/>
        <n x="193"/>
        <n x="241" s="1"/>
      </t>
    </mdx>
    <mdx n="0" f="v">
      <t c="4" si="29">
        <n x="204"/>
        <n x="31"/>
        <n x="169"/>
        <n x="241" s="1"/>
      </t>
    </mdx>
    <mdx n="0" f="v">
      <t c="4" si="29">
        <n x="204"/>
        <n x="17"/>
        <n x="101"/>
        <n x="241" s="1"/>
      </t>
    </mdx>
    <mdx n="0" f="v">
      <t c="4" si="29">
        <n x="204"/>
        <n x="31"/>
        <n x="46"/>
        <n x="241" s="1"/>
      </t>
    </mdx>
    <mdx n="0" f="v">
      <t c="4" si="33">
        <n x="204"/>
        <n x="30"/>
        <n x="36"/>
        <n x="241" s="1"/>
      </t>
    </mdx>
    <mdx n="0" f="v">
      <t c="4" si="29">
        <n x="240"/>
        <n x="17"/>
        <n x="87"/>
        <n x="241" s="1"/>
      </t>
    </mdx>
    <mdx n="0" f="v">
      <t c="4" si="33">
        <n x="204"/>
        <n x="30"/>
        <n x="198"/>
        <n x="241" s="1"/>
      </t>
    </mdx>
    <mdx n="0" f="v">
      <t c="4" si="29">
        <n x="204"/>
        <n x="31"/>
        <n x="44"/>
        <n x="241" s="1"/>
      </t>
    </mdx>
    <mdx n="0" f="v">
      <t c="5" si="33">
        <n x="204"/>
        <n x="30"/>
        <n x="26"/>
        <n x="34"/>
        <n x="241" s="1"/>
      </t>
    </mdx>
    <mdx n="0" f="v">
      <t c="5" si="33">
        <n x="204"/>
        <n x="30"/>
        <n x="14"/>
        <n x="35"/>
        <n x="241" s="1"/>
      </t>
    </mdx>
    <mdx n="0" f="v">
      <t c="5" si="29">
        <n x="204"/>
        <n x="17"/>
        <n x="11"/>
        <n x="23"/>
        <n x="241" s="1"/>
      </t>
    </mdx>
    <mdx n="0" f="v">
      <t c="4" si="33">
        <n x="204"/>
        <n x="30"/>
        <n x="135"/>
        <n x="241" s="1"/>
      </t>
    </mdx>
    <mdx n="0" f="v">
      <t c="4" si="33">
        <n x="204"/>
        <n x="30"/>
        <n x="130"/>
        <n x="241" s="1"/>
      </t>
    </mdx>
    <mdx n="0" f="v">
      <t c="4" si="29">
        <n x="240"/>
        <n x="31"/>
        <n x="44"/>
        <n x="241" s="1"/>
      </t>
    </mdx>
    <mdx n="0" f="v">
      <t c="4" si="33">
        <n x="204"/>
        <n x="30"/>
        <n x="99"/>
        <n x="241" s="1"/>
      </t>
    </mdx>
    <mdx n="0" f="v">
      <t c="5" si="29">
        <n x="204"/>
        <n x="17"/>
        <n x="21"/>
        <n x="7"/>
        <n x="241" s="1"/>
      </t>
    </mdx>
    <mdx n="0" f="v">
      <t c="5" si="33">
        <n x="204"/>
        <n x="30"/>
        <n x="24"/>
        <n x="35"/>
        <n x="241" s="1"/>
      </t>
    </mdx>
    <mdx n="0" f="v">
      <t c="4" si="29">
        <n x="240"/>
        <n x="17"/>
        <n x="88"/>
        <n x="241" s="1"/>
      </t>
    </mdx>
    <mdx n="0" f="v">
      <t c="4" si="29">
        <n x="204"/>
        <n x="17"/>
        <n x="156"/>
        <n x="241" s="1"/>
      </t>
    </mdx>
    <mdx n="0" f="v">
      <t c="5" si="33">
        <n x="204"/>
        <n x="30"/>
        <n x="4"/>
        <n x="34"/>
        <n x="241" s="1"/>
      </t>
    </mdx>
    <mdx n="0" f="v">
      <t c="5" si="29">
        <n x="204"/>
        <n x="17"/>
        <n x="2"/>
        <n x="28"/>
        <n x="241" s="1"/>
      </t>
    </mdx>
    <mdx n="0" f="v">
      <t c="4" si="33">
        <n x="240"/>
        <n x="32"/>
        <n x="147"/>
        <n x="241" s="1"/>
      </t>
    </mdx>
    <mdx n="0" f="v">
      <t c="5" si="33">
        <n x="204"/>
        <n x="30"/>
        <n x="12"/>
        <n x="35"/>
        <n x="241" s="1"/>
      </t>
    </mdx>
    <mdx n="0" f="v">
      <t c="4" si="33">
        <n x="204"/>
        <n x="30"/>
        <n x="177"/>
        <n x="241" s="1"/>
      </t>
    </mdx>
    <mdx n="0" f="v">
      <t c="4" si="33">
        <n x="240"/>
        <n x="32"/>
        <n x="182"/>
        <n x="241" s="1"/>
      </t>
    </mdx>
    <mdx n="0" f="v">
      <t c="4" si="29">
        <n x="240"/>
        <n x="31"/>
        <n x="187"/>
        <n x="241" s="1"/>
      </t>
    </mdx>
    <mdx n="0" f="v">
      <t c="4" si="33">
        <n x="204"/>
        <n x="49"/>
        <n x="32"/>
        <n x="241" s="1"/>
      </t>
    </mdx>
    <mdx n="0" f="v">
      <t c="4" si="33">
        <n x="240"/>
        <n x="32"/>
        <n x="102"/>
        <n x="241" s="1"/>
      </t>
    </mdx>
    <mdx n="0" f="v">
      <t c="4" si="29">
        <n x="204"/>
        <n x="179"/>
        <n x="17"/>
        <n x="241" s="1"/>
      </t>
    </mdx>
    <mdx n="0" f="v">
      <t c="4" si="33">
        <n x="204"/>
        <n x="53"/>
        <n x="32"/>
        <n x="241" s="1"/>
      </t>
    </mdx>
    <mdx n="0" f="v">
      <t c="4" si="33">
        <n x="240"/>
        <n x="30"/>
        <n x="166"/>
        <n x="241" s="1"/>
      </t>
    </mdx>
    <mdx n="0" f="v">
      <t c="4" si="29">
        <n x="240"/>
        <n x="31"/>
        <n x="49"/>
        <n x="241" s="1"/>
      </t>
    </mdx>
    <mdx n="0" f="v">
      <t c="4" si="29">
        <n x="204"/>
        <n x="175"/>
        <n x="17"/>
        <n x="241" s="1"/>
      </t>
    </mdx>
    <mdx n="0" f="v">
      <t c="4" si="33">
        <n x="204"/>
        <n x="35"/>
        <n x="30"/>
        <n x="241" s="1"/>
      </t>
    </mdx>
    <mdx n="0" f="v">
      <t c="4" si="29">
        <n x="240"/>
        <n x="17"/>
        <n x="152"/>
        <n x="241" s="1"/>
      </t>
    </mdx>
    <mdx n="0" f="v">
      <t c="4" si="33">
        <n x="204"/>
        <n x="30"/>
        <n x="153"/>
        <n x="241" s="1"/>
      </t>
    </mdx>
    <mdx n="0" f="v">
      <t c="4" si="29">
        <n x="240"/>
        <n x="31"/>
        <n x="106"/>
        <n x="241" s="1"/>
      </t>
    </mdx>
    <mdx n="0" f="v">
      <t c="4" si="33">
        <n x="204"/>
        <n x="30"/>
        <n x="141"/>
        <n x="241" s="1"/>
      </t>
    </mdx>
    <mdx n="0" f="v">
      <t c="4" si="29">
        <n x="204"/>
        <n x="17"/>
        <n x="53"/>
        <n x="241" s="1"/>
      </t>
    </mdx>
    <mdx n="0" f="v">
      <t c="4" si="29">
        <n x="240"/>
        <n x="31"/>
        <n x="102"/>
        <n x="241" s="1"/>
      </t>
    </mdx>
    <mdx n="0" f="v">
      <t c="4" si="29">
        <n x="204"/>
        <n x="17"/>
        <n x="179"/>
        <n x="241" s="1"/>
      </t>
    </mdx>
    <mdx n="0" f="v">
      <t c="4" si="33">
        <n x="240"/>
        <n x="32"/>
        <n x="92"/>
        <n x="241" s="1"/>
      </t>
    </mdx>
    <mdx n="0" f="v">
      <t c="4" si="33">
        <n x="240"/>
        <n x="30"/>
        <n x="158"/>
        <n x="241" s="1"/>
      </t>
    </mdx>
    <mdx n="0" f="v">
      <t c="4" si="33">
        <n x="240"/>
        <n x="30"/>
        <n x="46"/>
        <n x="241" s="1"/>
      </t>
    </mdx>
    <mdx n="0" f="v">
      <t c="4" si="33">
        <n x="240"/>
        <n x="30"/>
        <n x="141"/>
        <n x="241" s="1"/>
      </t>
    </mdx>
    <mdx n="0" f="v">
      <t c="4" si="33">
        <n x="240"/>
        <n x="30"/>
        <n x="114"/>
        <n x="241" s="1"/>
      </t>
    </mdx>
    <mdx n="0" f="v">
      <t c="4" si="33">
        <n x="240"/>
        <n x="30"/>
        <n x="53"/>
        <n x="241" s="1"/>
      </t>
    </mdx>
    <mdx n="0" f="v">
      <t c="4" si="33">
        <n x="204"/>
        <n x="50"/>
        <n x="30"/>
        <n x="241" s="1"/>
      </t>
    </mdx>
    <mdx n="0" f="v">
      <t c="5" si="33">
        <n x="204"/>
        <n x="30"/>
        <n x="2"/>
        <n x="34"/>
        <n x="241" s="1"/>
      </t>
    </mdx>
    <mdx n="0" f="v">
      <t c="5" si="33">
        <n x="204"/>
        <n x="30"/>
        <n x="20"/>
        <n x="34"/>
        <n x="241" s="1"/>
      </t>
    </mdx>
    <mdx n="0" f="v">
      <t c="4" si="33">
        <n x="204"/>
        <n x="30"/>
        <n x="92"/>
        <n x="241" s="1"/>
      </t>
    </mdx>
    <mdx n="0" f="v">
      <t c="4" si="33">
        <n x="240"/>
        <n x="32"/>
        <n x="101"/>
        <n x="241" s="1"/>
      </t>
    </mdx>
    <mdx n="0" f="v">
      <t c="4" si="33">
        <n x="204"/>
        <n x="30"/>
        <n x="152"/>
        <n x="241" s="1"/>
      </t>
    </mdx>
    <mdx n="0" f="v">
      <t c="4" si="29">
        <n x="204"/>
        <n x="31"/>
        <n x="117"/>
        <n x="241" s="1"/>
      </t>
    </mdx>
    <mdx n="0" f="v">
      <t c="4" si="29">
        <n x="204"/>
        <n x="17"/>
        <n x="188"/>
        <n x="241" s="1"/>
      </t>
    </mdx>
    <mdx n="0" f="v">
      <t c="4" si="29">
        <n x="240"/>
        <n x="31"/>
        <n x="173"/>
        <n x="241" s="1"/>
      </t>
    </mdx>
    <mdx n="0" f="v">
      <t c="4" si="29">
        <n x="204"/>
        <n x="17"/>
        <n x="175"/>
        <n x="241" s="1"/>
      </t>
    </mdx>
    <mdx n="0" f="v">
      <t c="4" si="33">
        <n x="204"/>
        <n x="41"/>
        <n x="30"/>
        <n x="241" s="1"/>
      </t>
    </mdx>
    <mdx n="0" f="v">
      <t c="4" si="33">
        <n x="240"/>
        <n x="30"/>
        <n x="115"/>
        <n x="241" s="1"/>
      </t>
    </mdx>
    <mdx n="0" f="v">
      <t c="4" si="33">
        <n x="204"/>
        <n x="32"/>
        <n x="182"/>
        <n x="241" s="1"/>
      </t>
    </mdx>
    <mdx n="0" f="v">
      <t c="5" si="29">
        <n x="204"/>
        <n x="17"/>
        <n x="1"/>
        <n x="23"/>
        <n x="241" s="1"/>
      </t>
    </mdx>
    <mdx n="0" f="v">
      <t c="5" si="29">
        <n x="204"/>
        <n x="17"/>
        <n x="1"/>
        <n x="28"/>
        <n x="241" s="1"/>
      </t>
    </mdx>
    <mdx n="0" f="v">
      <t c="4" si="29">
        <n x="204"/>
        <n x="17"/>
        <n x="151"/>
        <n x="241" s="1"/>
      </t>
    </mdx>
    <mdx n="0" f="v">
      <t c="4" si="33">
        <n x="204"/>
        <n x="39"/>
        <n x="30"/>
        <n x="241" s="1"/>
      </t>
    </mdx>
    <mdx n="0" f="v">
      <t c="4" si="33">
        <n x="240"/>
        <n x="30"/>
        <n x="200"/>
        <n x="241" s="1"/>
      </t>
    </mdx>
    <mdx n="0" f="v">
      <t c="4" si="33">
        <n x="204"/>
        <n x="32"/>
        <n x="181"/>
        <n x="241" s="1"/>
      </t>
    </mdx>
    <mdx n="0" f="v">
      <t c="4" si="33">
        <n x="204"/>
        <n x="30"/>
        <n x="158"/>
        <n x="241" s="1"/>
      </t>
    </mdx>
    <mdx n="0" f="v">
      <t c="5" si="29">
        <n x="204"/>
        <n x="17"/>
        <n x="27"/>
        <n x="28"/>
        <n x="241" s="1"/>
      </t>
    </mdx>
    <mdx n="0" f="v">
      <t c="5" si="33">
        <n x="204"/>
        <n x="30"/>
        <n x="8"/>
        <n x="35"/>
        <n x="241" s="1"/>
      </t>
    </mdx>
    <mdx n="0" f="v">
      <t c="4" si="33">
        <n x="204"/>
        <n x="30"/>
        <n x="196"/>
        <n x="241" s="1"/>
      </t>
    </mdx>
    <mdx n="0" f="v">
      <t c="4" si="33">
        <n x="204"/>
        <n x="32"/>
        <n x="116"/>
        <n x="241" s="1"/>
      </t>
    </mdx>
    <mdx n="0" f="v">
      <t c="4" si="29">
        <n x="240"/>
        <n x="31"/>
        <n x="181"/>
        <n x="241" s="1"/>
      </t>
    </mdx>
    <mdx n="0" f="v">
      <t c="5" si="33">
        <n x="204"/>
        <n x="30"/>
        <n x="6"/>
        <n x="43"/>
        <n x="241" s="1"/>
      </t>
    </mdx>
    <mdx n="0" f="v">
      <t c="4" si="29">
        <n x="240"/>
        <n x="17"/>
        <n x="194"/>
        <n x="241" s="1"/>
      </t>
    </mdx>
    <mdx n="0" f="v">
      <t c="4" si="29">
        <n x="204"/>
        <n x="17"/>
        <n x="113"/>
        <n x="241" s="1"/>
      </t>
    </mdx>
    <mdx n="0" f="v">
      <t c="4" si="33">
        <n x="204"/>
        <n x="32"/>
        <n x="160"/>
        <n x="241" s="1"/>
      </t>
    </mdx>
    <mdx n="0" f="v">
      <t c="4" si="29">
        <n x="204"/>
        <n x="31"/>
        <n x="108"/>
        <n x="241" s="1"/>
      </t>
    </mdx>
    <mdx n="0" f="v">
      <t c="4" si="29">
        <n x="240"/>
        <n x="31"/>
        <n x="115"/>
        <n x="241" s="1"/>
      </t>
    </mdx>
    <mdx n="0" f="v">
      <t c="4" si="33">
        <n x="204"/>
        <n x="30"/>
        <n x="113"/>
        <n x="241" s="1"/>
      </t>
    </mdx>
    <mdx n="0" f="v">
      <t c="4" si="33">
        <n x="204"/>
        <n x="30"/>
        <n x="101"/>
        <n x="241" s="1"/>
      </t>
    </mdx>
    <mdx n="0" f="v">
      <t c="4" si="33">
        <n x="240"/>
        <n x="30"/>
        <n x="87"/>
        <n x="241" s="1"/>
      </t>
    </mdx>
    <mdx n="0" f="v">
      <t c="4" si="29">
        <n x="204"/>
        <n x="17"/>
        <n x="130"/>
        <n x="241" s="1"/>
      </t>
    </mdx>
    <mdx n="0" f="v">
      <t c="4" si="29">
        <n x="240"/>
        <n x="31"/>
        <n x="154"/>
        <n x="241" s="1"/>
      </t>
    </mdx>
    <mdx n="0" f="v">
      <t c="5" si="29">
        <n x="204"/>
        <n x="17"/>
        <n x="15"/>
        <n x="23"/>
        <n x="241" s="1"/>
      </t>
    </mdx>
    <mdx n="0" f="v">
      <t c="4" si="29">
        <n x="204"/>
        <n x="52"/>
        <n x="17"/>
        <n x="241" s="1"/>
      </t>
    </mdx>
    <mdx n="0" f="v">
      <t c="4" si="29">
        <n x="204"/>
        <n x="17"/>
        <n x="46"/>
        <n x="241" s="1"/>
      </t>
    </mdx>
    <mdx n="0" f="v">
      <t c="4" si="29">
        <n x="240"/>
        <n x="17"/>
        <n x="195"/>
        <n x="241" s="1"/>
      </t>
    </mdx>
    <mdx n="0" f="v">
      <t c="4" si="29">
        <n x="240"/>
        <n x="31"/>
        <n x="92"/>
        <n x="241" s="1"/>
      </t>
    </mdx>
    <mdx n="0" f="v">
      <t c="4" si="33">
        <n x="204"/>
        <n x="30"/>
        <n x="197"/>
        <n x="241" s="1"/>
      </t>
    </mdx>
    <mdx n="0" f="v">
      <t c="4" si="33">
        <n x="240"/>
        <n x="30"/>
        <n x="189"/>
        <n x="241" s="1"/>
      </t>
    </mdx>
    <mdx n="0" f="v">
      <t c="4" si="29">
        <n x="240"/>
        <n x="31"/>
        <n x="95"/>
        <n x="241" s="1"/>
      </t>
    </mdx>
    <mdx n="0" f="v">
      <t c="4" si="29">
        <n x="204"/>
        <n x="17"/>
        <n x="102"/>
        <n x="241" s="1"/>
      </t>
    </mdx>
    <mdx n="0" f="v">
      <t c="4" si="33">
        <n x="240"/>
        <n x="32"/>
        <n x="149"/>
        <n x="241" s="1"/>
      </t>
    </mdx>
    <mdx n="0" f="v">
      <t c="4" si="33">
        <n x="240"/>
        <n x="32"/>
        <n x="187"/>
        <n x="241" s="1"/>
      </t>
    </mdx>
    <mdx n="0" f="v">
      <t c="4" si="33">
        <n x="240"/>
        <n x="30"/>
        <n x="148"/>
        <n x="241" s="1"/>
      </t>
    </mdx>
    <mdx n="0" f="v">
      <t c="4" si="33">
        <n x="204"/>
        <n x="182"/>
        <n x="30"/>
        <n x="241" s="1"/>
      </t>
    </mdx>
    <mdx n="0" f="v">
      <t c="4" si="33">
        <n x="240"/>
        <n x="32"/>
        <n x="96"/>
        <n x="241" s="1"/>
      </t>
    </mdx>
    <mdx n="0" f="v">
      <t c="4" si="29">
        <n x="204"/>
        <n x="17"/>
        <n x="42"/>
        <n x="241" s="1"/>
      </t>
    </mdx>
    <mdx n="0" f="v">
      <t c="4" si="33">
        <n x="240"/>
        <n x="32"/>
        <n x="114"/>
        <n x="241" s="1"/>
      </t>
    </mdx>
    <mdx n="0" f="v">
      <t c="4" si="29">
        <n x="240"/>
        <n x="31"/>
        <n x="169"/>
        <n x="241" s="1"/>
      </t>
    </mdx>
    <mdx n="0" f="v">
      <t c="4" si="29">
        <n x="204"/>
        <n x="31"/>
        <n x="128"/>
        <n x="241" s="1"/>
      </t>
    </mdx>
    <mdx n="0" f="v">
      <t c="4" si="29">
        <n x="240"/>
        <n x="17"/>
        <n x="198"/>
        <n x="241" s="1"/>
      </t>
    </mdx>
    <mdx n="0" f="v">
      <t c="4" si="33">
        <n x="240"/>
        <n x="32"/>
        <n x="115"/>
        <n x="241" s="1"/>
      </t>
    </mdx>
    <mdx n="0" f="v">
      <t c="4" si="29">
        <n x="204"/>
        <n x="17"/>
        <n x="141"/>
        <n x="241" s="1"/>
      </t>
    </mdx>
    <mdx n="0" f="v">
      <t c="5" si="33">
        <n x="204"/>
        <n x="30"/>
        <n x="1"/>
        <n x="34"/>
        <n x="241" s="1"/>
      </t>
    </mdx>
    <mdx n="0" f="v">
      <t c="4" si="29">
        <n x="204"/>
        <n x="31"/>
        <n x="106"/>
        <n x="241" s="1"/>
      </t>
    </mdx>
    <mdx n="0" f="v">
      <t c="4" si="33">
        <n x="204"/>
        <n x="201"/>
        <n x="32"/>
        <n x="241" s="1"/>
      </t>
    </mdx>
    <mdx n="0" f="v">
      <t c="5" si="29">
        <n x="204"/>
        <n x="17"/>
        <n x="6"/>
        <n x="7"/>
        <n x="241" s="1"/>
      </t>
    </mdx>
    <mdx n="0" f="v">
      <t c="4" si="33">
        <n x="204"/>
        <n x="40"/>
        <n x="30"/>
        <n x="241" s="1"/>
      </t>
    </mdx>
    <mdx n="0" f="v">
      <t c="4" si="33">
        <n x="204"/>
        <n x="30"/>
        <n x="125"/>
        <n x="241" s="1"/>
      </t>
    </mdx>
    <mdx n="0" f="v">
      <t c="4" si="29">
        <n x="240"/>
        <n x="17"/>
        <n x="167"/>
        <n x="241" s="1"/>
      </t>
    </mdx>
    <mdx n="0" f="v">
      <t c="4" si="33">
        <n x="240"/>
        <n x="32"/>
        <n x="52"/>
        <n x="241" s="1"/>
      </t>
    </mdx>
    <mdx n="0" f="v">
      <t c="5" si="33">
        <n x="204"/>
        <n x="30"/>
        <n x="6"/>
        <n x="35"/>
        <n x="241" s="1"/>
      </t>
    </mdx>
    <mdx n="0" f="v">
      <t c="4" si="29">
        <n x="240"/>
        <n x="17"/>
        <n x="120"/>
        <n x="241" s="1"/>
      </t>
    </mdx>
    <mdx n="0" f="v">
      <t c="4" si="33">
        <n x="204"/>
        <n x="30"/>
        <n x="91"/>
        <n x="241" s="1"/>
      </t>
    </mdx>
    <mdx n="0" f="v">
      <t c="4" si="29">
        <n x="240"/>
        <n x="17"/>
        <n x="122"/>
        <n x="241" s="1"/>
      </t>
    </mdx>
    <mdx n="0" f="v">
      <t c="4" si="29">
        <n x="240"/>
        <n x="31"/>
        <n x="144"/>
        <n x="241" s="1"/>
      </t>
    </mdx>
    <mdx n="0" f="v">
      <t c="4" si="29">
        <n x="240"/>
        <n x="17"/>
        <n x="44"/>
        <n x="241" s="1"/>
      </t>
    </mdx>
    <mdx n="0" f="v">
      <t c="5" si="33">
        <n x="204"/>
        <n x="30"/>
        <n x="16"/>
        <n x="35"/>
        <n x="241" s="1"/>
      </t>
    </mdx>
    <mdx n="0" f="v">
      <t c="5" si="29">
        <n x="204"/>
        <n x="17"/>
        <n x="3"/>
        <n x="28"/>
        <n x="241" s="1"/>
      </t>
    </mdx>
    <mdx n="0" f="v">
      <t c="4" si="33">
        <n x="240"/>
        <n x="30"/>
        <n x="139"/>
        <n x="241" s="1"/>
      </t>
    </mdx>
    <mdx n="0" f="v">
      <t c="4" si="29">
        <n x="204"/>
        <n x="31"/>
        <n x="182"/>
        <n x="241" s="1"/>
      </t>
    </mdx>
    <mdx n="0" f="v">
      <t c="5" si="33">
        <n x="204"/>
        <n x="30"/>
        <n x="16"/>
        <n x="43"/>
        <n x="241" s="1"/>
      </t>
    </mdx>
    <mdx n="0" f="v">
      <t c="5" si="29">
        <n x="204"/>
        <n x="17"/>
        <n x="202"/>
        <n x="7"/>
        <n x="241" s="1"/>
      </t>
    </mdx>
    <mdx n="0" f="v">
      <t c="4" si="33">
        <n x="240"/>
        <n x="30"/>
        <n x="107"/>
        <n x="241" s="1"/>
      </t>
    </mdx>
    <mdx n="0" f="v">
      <t c="4" si="33">
        <n x="204"/>
        <n x="30"/>
        <n x="167"/>
        <n x="241" s="1"/>
      </t>
    </mdx>
    <mdx n="0" f="v">
      <t c="4" si="29">
        <n x="204"/>
        <n x="31"/>
        <n x="193"/>
        <n x="241" s="1"/>
      </t>
    </mdx>
    <mdx n="0" f="v">
      <t c="4" si="29">
        <n x="204"/>
        <n x="17"/>
        <n x="166"/>
        <n x="241" s="1"/>
      </t>
    </mdx>
    <mdx n="0" f="v">
      <t c="5" si="33">
        <n x="204"/>
        <n x="30"/>
        <n x="19"/>
        <n x="35"/>
        <n x="241" s="1"/>
      </t>
    </mdx>
    <mdx n="0" f="v">
      <t c="4" si="33">
        <n x="240"/>
        <n x="32"/>
        <n x="104"/>
        <n x="241" s="1"/>
      </t>
    </mdx>
    <mdx n="0" f="v">
      <t c="4" si="29">
        <n x="240"/>
        <n x="31"/>
        <n x="160"/>
        <n x="241" s="1"/>
      </t>
    </mdx>
    <mdx n="0" f="v">
      <t c="4" si="29">
        <n x="204"/>
        <n x="17"/>
        <n x="52"/>
        <n x="241" s="1"/>
      </t>
    </mdx>
    <mdx n="0" f="v">
      <t c="4" si="33">
        <n x="240"/>
        <n x="32"/>
        <n x="150"/>
        <n x="241" s="1"/>
      </t>
    </mdx>
    <mdx n="0" f="v">
      <t c="4" si="33">
        <n x="204"/>
        <n x="51"/>
        <n x="30"/>
        <n x="241" s="1"/>
      </t>
    </mdx>
    <mdx n="0" f="v">
      <t c="4" si="29">
        <n x="204"/>
        <n x="184"/>
        <n x="17"/>
        <n x="241" s="1"/>
      </t>
    </mdx>
    <mdx n="0" f="v">
      <t c="4" si="29">
        <n x="240"/>
        <n x="17"/>
        <n x="196"/>
        <n x="241" s="1"/>
      </t>
    </mdx>
    <mdx n="0" f="v">
      <t c="4" si="29">
        <n x="204"/>
        <n x="17"/>
        <n x="171"/>
        <n x="241" s="1"/>
      </t>
    </mdx>
    <mdx n="0" f="v">
      <t c="4" si="29">
        <n x="204"/>
        <n x="31"/>
        <n x="132"/>
        <n x="241" s="1"/>
      </t>
    </mdx>
    <mdx n="0" f="v">
      <t c="4" si="33">
        <n x="240"/>
        <n x="30"/>
        <n x="97"/>
        <n x="241" s="1"/>
      </t>
    </mdx>
    <mdx n="0" f="v">
      <t c="5" si="33">
        <n x="204"/>
        <n x="30"/>
        <n x="5"/>
        <n x="43"/>
        <n x="241" s="1"/>
      </t>
    </mdx>
    <mdx n="0" f="v">
      <t c="4" si="33">
        <n x="204"/>
        <n x="30"/>
        <n x="188"/>
        <n x="241" s="1"/>
      </t>
    </mdx>
    <mdx n="0" f="v">
      <t c="4" si="29">
        <n x="240"/>
        <n x="17"/>
        <n x="169"/>
        <n x="241" s="1"/>
      </t>
    </mdx>
    <mdx n="0" f="v">
      <t c="4" si="29">
        <n x="240"/>
        <n x="31"/>
        <n x="104"/>
        <n x="241" s="1"/>
      </t>
    </mdx>
    <mdx n="0" f="v">
      <t c="5" si="29">
        <n x="204"/>
        <n x="17"/>
        <n x="21"/>
        <n x="28"/>
        <n x="241" s="1"/>
      </t>
    </mdx>
    <mdx n="0" f="v">
      <t c="4" si="29">
        <n x="240"/>
        <n x="31"/>
        <n x="134"/>
        <n x="241" s="1"/>
      </t>
    </mdx>
    <mdx n="0" f="v">
      <t c="4" si="33">
        <n x="240"/>
        <n x="32"/>
        <n x="116"/>
        <n x="241" s="1"/>
      </t>
    </mdx>
    <mdx n="0" f="v">
      <t c="5" si="33">
        <n x="204"/>
        <n x="30"/>
        <n x="3"/>
        <n x="34"/>
        <n x="241" s="1"/>
      </t>
    </mdx>
    <mdx n="0" f="v">
      <t c="4" si="33">
        <n x="204"/>
        <n x="32"/>
        <n x="44"/>
        <n x="241" s="1"/>
      </t>
    </mdx>
    <mdx n="0" f="v">
      <t c="4" si="33">
        <n x="240"/>
        <n x="32"/>
        <n x="38"/>
        <n x="241" s="1"/>
      </t>
    </mdx>
    <mdx n="0" f="v">
      <t c="4" si="29">
        <n x="204"/>
        <n x="31"/>
        <n x="143"/>
        <n x="241" s="1"/>
      </t>
    </mdx>
    <mdx n="0" f="v">
      <t c="4" si="33">
        <n x="240"/>
        <n x="30"/>
        <n x="179"/>
        <n x="241" s="1"/>
      </t>
    </mdx>
    <mdx n="0" f="v">
      <t c="4" si="33">
        <n x="240"/>
        <n x="32"/>
        <n x="153"/>
        <n x="241" s="1"/>
      </t>
    </mdx>
    <mdx n="0" f="v">
      <t c="4" si="29">
        <n x="204"/>
        <n x="31"/>
        <n x="102"/>
        <n x="241" s="1"/>
      </t>
    </mdx>
    <mdx n="0" f="v">
      <t c="4" si="29">
        <n x="240"/>
        <n x="17"/>
        <n x="170"/>
        <n x="241" s="1"/>
      </t>
    </mdx>
    <mdx n="0" f="v">
      <t c="4" si="33">
        <n x="204"/>
        <n x="30"/>
        <n x="88"/>
        <n x="241" s="1"/>
      </t>
    </mdx>
    <mdx n="0" f="v">
      <t c="4" si="33">
        <n x="204"/>
        <n x="32"/>
        <n x="156"/>
        <n x="241" s="1"/>
      </t>
    </mdx>
    <mdx n="0" f="v">
      <t c="4" si="29">
        <n x="204"/>
        <n x="17"/>
        <n x="135"/>
        <n x="241" s="1"/>
      </t>
    </mdx>
    <mdx n="0" f="v">
      <t c="5" si="33">
        <n x="204"/>
        <n x="30"/>
        <n x="27"/>
        <n x="43"/>
        <n x="241" s="1"/>
      </t>
    </mdx>
    <mdx n="0" f="v">
      <t c="4" si="33">
        <n x="204"/>
        <n x="30"/>
        <n x="87"/>
        <n x="241" s="1"/>
      </t>
    </mdx>
    <mdx n="0" f="v">
      <t c="4" si="33">
        <n x="204"/>
        <n x="32"/>
        <n x="130"/>
        <n x="241" s="1"/>
      </t>
    </mdx>
    <mdx n="0" f="v">
      <t c="4" si="33">
        <n x="204"/>
        <n x="32"/>
        <n x="100"/>
        <n x="241" s="1"/>
      </t>
    </mdx>
    <mdx n="0" f="v">
      <t c="4" si="33">
        <n x="204"/>
        <n x="30"/>
        <n x="52"/>
        <n x="241" s="1"/>
      </t>
    </mdx>
    <mdx n="0" f="v">
      <t c="4" si="29">
        <n x="204"/>
        <n x="17"/>
        <n x="122"/>
        <n x="241" s="1"/>
      </t>
    </mdx>
    <mdx n="0" f="v">
      <t c="4" si="33">
        <n x="240"/>
        <n x="30"/>
        <n x="125"/>
        <n x="241" s="1"/>
      </t>
    </mdx>
    <mdx n="0" f="v">
      <t c="4" si="29">
        <n x="204"/>
        <n x="31"/>
        <n x="99"/>
        <n x="241" s="1"/>
      </t>
    </mdx>
    <mdx n="0" f="v">
      <t c="5" si="29">
        <n x="204"/>
        <n x="17"/>
        <n x="14"/>
        <n x="7"/>
        <n x="241" s="1"/>
      </t>
    </mdx>
    <mdx n="0" f="v">
      <t c="4" si="33">
        <n x="204"/>
        <n x="32"/>
        <n x="170"/>
        <n x="241" s="1"/>
      </t>
    </mdx>
    <mdx n="0" f="v">
      <t c="4" si="33">
        <n x="240"/>
        <n x="30"/>
        <n x="88"/>
        <n x="241" s="1"/>
      </t>
    </mdx>
    <mdx n="0" f="v">
      <t c="4" si="33">
        <n x="204"/>
        <n x="32"/>
        <n x="188"/>
        <n x="241" s="1"/>
      </t>
    </mdx>
    <mdx n="0" f="v">
      <t c="4" si="29">
        <n x="240"/>
        <n x="17"/>
        <n x="37"/>
        <n x="241" s="1"/>
      </t>
    </mdx>
    <mdx n="0" f="v">
      <t c="4" si="33">
        <n x="204"/>
        <n x="48"/>
        <n x="30"/>
        <n x="241" s="1"/>
      </t>
    </mdx>
    <mdx n="0" f="v">
      <t c="4" si="33">
        <n x="204"/>
        <n x="176"/>
        <n x="30"/>
        <n x="241" s="1"/>
      </t>
    </mdx>
    <mdx n="0" f="v">
      <t c="4" si="29">
        <n x="240"/>
        <n x="31"/>
        <n x="40"/>
        <n x="241" s="1"/>
      </t>
    </mdx>
    <mdx n="0" f="v">
      <t c="4" si="33">
        <n x="204"/>
        <n x="50"/>
        <n x="32"/>
        <n x="241" s="1"/>
      </t>
    </mdx>
    <mdx n="0" f="v">
      <t c="4" si="29">
        <n x="204"/>
        <n x="31"/>
        <n x="36"/>
        <n x="241" s="1"/>
      </t>
    </mdx>
    <mdx n="0" f="v">
      <t c="4" si="29">
        <n x="204"/>
        <n x="31"/>
        <n x="164"/>
        <n x="241" s="1"/>
      </t>
    </mdx>
    <mdx n="0" f="v">
      <t c="4" si="29">
        <n x="204"/>
        <n x="45"/>
        <n x="17"/>
        <n x="241" s="1"/>
      </t>
    </mdx>
    <mdx n="0" f="v">
      <t c="4" si="29">
        <n x="204"/>
        <n x="31"/>
        <n x="137"/>
        <n x="241" s="1"/>
      </t>
    </mdx>
    <mdx n="0" f="v">
      <t c="4" si="33">
        <n x="204"/>
        <n x="32"/>
        <n x="49"/>
        <n x="241" s="1"/>
      </t>
    </mdx>
    <mdx n="0" f="v">
      <t c="4" si="33">
        <n x="204"/>
        <n x="32"/>
        <n x="106"/>
        <n x="241" s="1"/>
      </t>
    </mdx>
    <mdx n="0" f="v">
      <t c="4" si="29">
        <n x="204"/>
        <n x="17"/>
        <n x="144"/>
        <n x="241" s="1"/>
      </t>
    </mdx>
    <mdx n="0" f="v">
      <t c="4" si="29">
        <n x="240"/>
        <n x="17"/>
        <n x="153"/>
        <n x="241" s="1"/>
      </t>
    </mdx>
    <mdx n="0" f="v">
      <t c="4" si="29">
        <n x="240"/>
        <n x="17"/>
        <n x="140"/>
        <n x="241" s="1"/>
      </t>
    </mdx>
    <mdx n="0" f="v">
      <t c="4" si="33">
        <n x="204"/>
        <n x="30"/>
        <n x="151"/>
        <n x="241" s="1"/>
      </t>
    </mdx>
    <mdx n="0" f="v">
      <t c="4" si="33">
        <n x="204"/>
        <n x="32"/>
        <n x="113"/>
        <n x="241" s="1"/>
      </t>
    </mdx>
    <mdx n="0" f="v">
      <t c="5" si="29">
        <n x="204"/>
        <n x="17"/>
        <n x="5"/>
        <n x="28"/>
        <n x="241" s="1"/>
      </t>
    </mdx>
    <mdx n="0" f="v">
      <t c="4" si="29">
        <n x="204"/>
        <n x="31"/>
        <n x="190"/>
        <n x="241" s="1"/>
      </t>
    </mdx>
    <mdx n="0" f="v">
      <t c="4" si="33">
        <n x="204"/>
        <n x="30"/>
        <n x="162"/>
        <n x="241" s="1"/>
      </t>
    </mdx>
    <mdx n="0" f="v">
      <t c="4" si="33">
        <n x="240"/>
        <n x="32"/>
        <n x="97"/>
        <n x="241" s="1"/>
      </t>
    </mdx>
    <mdx n="0" f="v">
      <t c="4" si="33">
        <n x="204"/>
        <n x="179"/>
        <n x="30"/>
        <n x="241" s="1"/>
      </t>
    </mdx>
    <mdx n="0" f="v">
      <t c="4" si="29">
        <n x="204"/>
        <n x="17"/>
        <n x="162"/>
        <n x="241" s="1"/>
      </t>
    </mdx>
    <mdx n="0" f="v">
      <t c="4" si="29">
        <n x="204"/>
        <n x="17"/>
        <n x="89"/>
        <n x="241" s="1"/>
      </t>
    </mdx>
    <mdx n="0" f="v">
      <t c="4" si="33">
        <n x="204"/>
        <n x="32"/>
        <n x="40"/>
        <n x="241" s="1"/>
      </t>
    </mdx>
    <mdx n="0" f="v">
      <t c="4" si="33">
        <n x="204"/>
        <n x="184"/>
        <n x="30"/>
        <n x="241" s="1"/>
      </t>
    </mdx>
    <mdx n="0" f="v">
      <t c="4" si="33">
        <n x="240"/>
        <n x="32"/>
        <n x="145"/>
        <n x="241" s="1"/>
      </t>
    </mdx>
    <mdx n="0" f="v">
      <t c="4" si="29">
        <n x="204"/>
        <n x="31"/>
        <n x="109"/>
        <n x="241" s="1"/>
      </t>
    </mdx>
    <mdx n="0" f="v">
      <t c="4" si="33">
        <n x="240"/>
        <n x="30"/>
        <n x="121"/>
        <n x="241" s="1"/>
      </t>
    </mdx>
    <mdx n="0" f="v">
      <t c="4" si="29">
        <n x="240"/>
        <n x="31"/>
        <n x="156"/>
        <n x="241" s="1"/>
      </t>
    </mdx>
    <mdx n="0" f="v">
      <t c="5" si="33">
        <n x="204"/>
        <n x="30"/>
        <n x="202"/>
        <n x="35"/>
        <n x="241" s="1"/>
      </t>
    </mdx>
    <mdx n="0" f="v">
      <t c="5" si="29">
        <n x="204"/>
        <n x="17"/>
        <n x="26"/>
        <n x="23"/>
        <n x="241" s="1"/>
      </t>
    </mdx>
    <mdx n="0" f="v">
      <t c="5" si="33">
        <n x="204"/>
        <n x="30"/>
        <n x="21"/>
        <n x="34"/>
        <n x="241" s="1"/>
      </t>
    </mdx>
    <mdx n="0" f="v">
      <t c="4" si="29">
        <n x="240"/>
        <n x="31"/>
        <n x="52"/>
        <n x="241" s="1"/>
      </t>
    </mdx>
    <mdx n="0" f="v">
      <t c="4" si="33">
        <n x="204"/>
        <n x="32"/>
        <n x="148"/>
        <n x="241" s="1"/>
      </t>
    </mdx>
    <mdx n="0" f="v">
      <t c="4" si="33">
        <n x="204"/>
        <n x="32"/>
        <n x="152"/>
        <n x="241" s="1"/>
      </t>
    </mdx>
    <mdx n="0" f="v">
      <t c="4" si="29">
        <n x="240"/>
        <n x="17"/>
        <n x="91"/>
        <n x="241" s="1"/>
      </t>
    </mdx>
    <mdx n="0" f="v">
      <t c="4" si="33">
        <n x="240"/>
        <n x="32"/>
        <n x="130"/>
        <n x="241" s="1"/>
      </t>
    </mdx>
    <mdx n="0" f="v">
      <t c="4" si="33">
        <n x="204"/>
        <n x="32"/>
        <n x="164"/>
        <n x="241" s="1"/>
      </t>
    </mdx>
    <mdx n="0" f="v">
      <t c="4" si="33">
        <n x="204"/>
        <n x="32"/>
        <n x="165"/>
        <n x="241" s="1"/>
      </t>
    </mdx>
    <mdx n="0" f="v">
      <t c="4" si="29">
        <n x="204"/>
        <n x="31"/>
        <n x="146"/>
        <n x="241" s="1"/>
      </t>
    </mdx>
    <mdx n="0" f="v">
      <t c="5" si="29">
        <n x="204"/>
        <n x="17"/>
        <n x="21"/>
        <n x="23"/>
        <n x="241" s="1"/>
      </t>
    </mdx>
    <mdx n="0" f="v">
      <t c="4" si="33">
        <n x="204"/>
        <n x="32"/>
        <n x="149"/>
        <n x="241" s="1"/>
      </t>
    </mdx>
    <mdx n="0" f="v">
      <t c="4" si="33">
        <n x="240"/>
        <n x="32"/>
        <n x="154"/>
        <n x="241" s="1"/>
      </t>
    </mdx>
    <mdx n="0" f="v">
      <t c="5" si="29">
        <n x="204"/>
        <n x="17"/>
        <n x="26"/>
        <n x="28"/>
        <n x="241" s="1"/>
      </t>
    </mdx>
    <mdx n="0" f="v">
      <t c="4" si="29">
        <n x="240"/>
        <n x="31"/>
        <n x="199"/>
        <n x="241" s="1"/>
      </t>
    </mdx>
    <mdx n="0" f="v">
      <t c="5" si="33">
        <n x="204"/>
        <n x="30"/>
        <n x="203"/>
        <n x="35"/>
        <n x="241" s="1"/>
      </t>
    </mdx>
    <mdx n="0" f="v">
      <t c="4" si="29">
        <n x="240"/>
        <n x="17"/>
        <n x="171"/>
        <n x="241" s="1"/>
      </t>
    </mdx>
    <mdx n="0" f="v">
      <t c="4" si="33">
        <n x="240"/>
        <n x="32"/>
        <n x="175"/>
        <n x="241" s="1"/>
      </t>
    </mdx>
    <mdx n="0" f="v">
      <t c="4" si="33">
        <n x="240"/>
        <n x="30"/>
        <n x="130"/>
        <n x="241" s="1"/>
      </t>
    </mdx>
    <mdx n="0" f="v">
      <t c="4" si="29">
        <n x="240"/>
        <n x="31"/>
        <n x="163"/>
        <n x="241" s="1"/>
      </t>
    </mdx>
    <mdx n="0" f="v">
      <t c="4" si="29">
        <n x="204"/>
        <n x="31"/>
        <n x="85"/>
        <n x="241" s="1"/>
      </t>
    </mdx>
    <mdx n="0" f="v">
      <t c="4" si="29">
        <n x="204"/>
        <n x="17"/>
        <n x="124"/>
        <n x="241" s="1"/>
      </t>
    </mdx>
    <mdx n="0" f="v">
      <t c="4" si="29">
        <n x="240"/>
        <n x="17"/>
        <n x="146"/>
        <n x="241" s="1"/>
      </t>
    </mdx>
    <mdx n="0" f="v">
      <t c="4" si="29">
        <n x="240"/>
        <n x="31"/>
        <n x="147"/>
        <n x="241" s="1"/>
      </t>
    </mdx>
    <mdx n="0" f="v">
      <t c="4" si="29">
        <n x="240"/>
        <n x="31"/>
        <n x="117"/>
        <n x="241" s="1"/>
      </t>
    </mdx>
    <mdx n="0" f="v">
      <t c="4" si="33">
        <n x="204"/>
        <n x="30"/>
        <n x="44"/>
        <n x="241" s="1"/>
      </t>
    </mdx>
    <mdx n="0" f="v">
      <t c="5" si="33">
        <n x="204"/>
        <n x="30"/>
        <n x="3"/>
        <n x="43"/>
        <n x="241" s="1"/>
      </t>
    </mdx>
    <mdx n="0" f="v">
      <t c="4" si="29">
        <n x="204"/>
        <n x="17"/>
        <n x="99"/>
        <n x="241" s="1"/>
      </t>
    </mdx>
    <mdx n="0" f="v">
      <t c="4" si="33">
        <n x="240"/>
        <n x="30"/>
        <n x="84"/>
        <n x="241" s="1"/>
      </t>
    </mdx>
    <mdx n="0" f="v">
      <t c="5" si="33">
        <n x="204"/>
        <n x="30"/>
        <n x="10"/>
        <n x="34"/>
        <n x="241" s="1"/>
      </t>
    </mdx>
    <mdx n="0" f="v">
      <t c="4" si="29">
        <n x="240"/>
        <n x="17"/>
        <n x="102"/>
        <n x="241" s="1"/>
      </t>
    </mdx>
    <mdx n="0" f="v">
      <t c="4" si="29">
        <n x="204"/>
        <n x="31"/>
        <n x="198"/>
        <n x="241" s="1"/>
      </t>
    </mdx>
    <mdx n="0" f="v">
      <t c="5" si="33">
        <n x="204"/>
        <n x="30"/>
        <n x="8"/>
        <n x="43"/>
        <n x="241" s="1"/>
      </t>
    </mdx>
    <mdx n="0" f="v">
      <t c="4" si="29">
        <n x="240"/>
        <n x="31"/>
        <n x="37"/>
        <n x="241" s="1"/>
      </t>
    </mdx>
    <mdx n="0" f="v">
      <t c="4" si="33">
        <n x="240"/>
        <n x="30"/>
        <n x="104"/>
        <n x="241" s="1"/>
      </t>
    </mdx>
    <mdx n="0" f="v">
      <t c="4" si="29">
        <n x="240"/>
        <n x="31"/>
        <n x="175"/>
        <n x="241" s="1"/>
      </t>
    </mdx>
    <mdx n="0" f="v">
      <t c="4" si="29">
        <n x="240"/>
        <n x="17"/>
        <n x="130"/>
        <n x="241" s="1"/>
      </t>
    </mdx>
    <mdx n="0" f="v">
      <t c="4" si="29">
        <n x="240"/>
        <n x="17"/>
        <n x="108"/>
        <n x="241" s="1"/>
      </t>
    </mdx>
    <mdx n="0" f="v">
      <t c="4" si="29">
        <n x="204"/>
        <n x="53"/>
        <n x="17"/>
        <n x="241" s="1"/>
      </t>
    </mdx>
    <mdx n="0" f="v">
      <t c="4" si="33">
        <n x="204"/>
        <n x="32"/>
        <n x="114"/>
        <n x="241" s="1"/>
      </t>
    </mdx>
    <mdx n="0" f="v">
      <t c="4" si="29">
        <n x="204"/>
        <n x="176"/>
        <n x="17"/>
        <n x="241" s="1"/>
      </t>
    </mdx>
    <mdx n="0" f="v">
      <t c="4" si="29">
        <n x="204"/>
        <n x="46"/>
        <n x="17"/>
        <n x="241" s="1"/>
      </t>
    </mdx>
    <mdx n="0" f="v">
      <t c="4" si="29">
        <n x="204"/>
        <n x="31"/>
        <n x="194"/>
        <n x="241" s="1"/>
      </t>
    </mdx>
    <mdx n="0" f="v">
      <t c="4" si="29">
        <n x="240"/>
        <n x="31"/>
        <n x="200"/>
        <n x="241" s="1"/>
      </t>
    </mdx>
    <mdx n="0" f="v">
      <t c="4" si="33">
        <n x="240"/>
        <n x="30"/>
        <n x="118"/>
        <n x="241" s="1"/>
      </t>
    </mdx>
    <mdx n="0" f="v">
      <t c="4" si="33">
        <n x="240"/>
        <n x="32"/>
        <n x="134"/>
        <n x="241" s="1"/>
      </t>
    </mdx>
    <mdx n="0" f="v">
      <t c="4" si="33">
        <n x="204"/>
        <n x="30"/>
        <n x="169"/>
        <n x="241" s="1"/>
      </t>
    </mdx>
    <mdx n="0" f="v">
      <t c="5" si="29">
        <n x="204"/>
        <n x="17"/>
        <n x="5"/>
        <n x="23"/>
        <n x="241" s="1"/>
      </t>
    </mdx>
    <mdx n="0" f="v">
      <t c="4" si="33">
        <n x="240"/>
        <n x="30"/>
        <n x="111"/>
        <n x="241" s="1"/>
      </t>
    </mdx>
    <mdx n="0" f="v">
      <t c="4" si="29">
        <n x="240"/>
        <n x="31"/>
        <n x="180"/>
        <n x="241" s="1"/>
      </t>
    </mdx>
    <mdx n="0" f="v">
      <t c="5" si="33">
        <n x="204"/>
        <n x="30"/>
        <n x="25"/>
        <n x="35"/>
        <n x="241" s="1"/>
      </t>
    </mdx>
    <mdx n="0" f="v">
      <t c="4" si="29">
        <n x="240"/>
        <n x="31"/>
        <n x="201"/>
        <n x="241" s="1"/>
      </t>
    </mdx>
    <mdx n="0" f="v">
      <t c="5" si="33">
        <n x="204"/>
        <n x="30"/>
        <n x="20"/>
        <n x="43"/>
        <n x="241" s="1"/>
      </t>
    </mdx>
    <mdx n="0" f="v">
      <t c="4" si="29">
        <n x="204"/>
        <n x="31"/>
        <n x="163"/>
        <n x="241" s="1"/>
      </t>
    </mdx>
    <mdx n="0" f="v">
      <t c="4" si="29">
        <n x="204"/>
        <n x="31"/>
        <n x="172"/>
        <n x="241" s="1"/>
      </t>
    </mdx>
    <mdx n="0" f="v">
      <t c="4" si="29">
        <n x="240"/>
        <n x="17"/>
        <n x="162"/>
        <n x="241" s="1"/>
      </t>
    </mdx>
    <mdx n="0" f="v">
      <t c="4" si="29">
        <n x="240"/>
        <n x="31"/>
        <n x="126"/>
        <n x="241" s="1"/>
      </t>
    </mdx>
    <mdx n="0" f="v">
      <t c="4" si="29">
        <n x="240"/>
        <n x="31"/>
        <n x="143"/>
        <n x="241" s="1"/>
      </t>
    </mdx>
    <mdx n="0" f="v">
      <t c="5" si="29">
        <n x="204"/>
        <n x="17"/>
        <n x="6"/>
        <n x="23"/>
        <n x="241" s="1"/>
      </t>
    </mdx>
    <mdx n="0" f="v">
      <t c="4" si="29">
        <n x="240"/>
        <n x="17"/>
        <n x="156"/>
        <n x="241" s="1"/>
      </t>
    </mdx>
    <mdx n="0" f="v">
      <t c="4" si="29">
        <n x="204"/>
        <n x="31"/>
        <n x="52"/>
        <n x="241" s="1"/>
      </t>
    </mdx>
    <mdx n="0" f="v">
      <t c="5" si="33">
        <n x="204"/>
        <n x="30"/>
        <n x="202"/>
        <n x="43"/>
        <n x="241" s="1"/>
      </t>
    </mdx>
    <mdx n="0" f="v">
      <t c="4" si="33">
        <n x="240"/>
        <n x="32"/>
        <n x="109"/>
        <n x="241" s="1"/>
      </t>
    </mdx>
    <mdx n="0" f="v">
      <t c="4" si="29">
        <n x="240"/>
        <n x="31"/>
        <n x="161"/>
        <n x="241" s="1"/>
      </t>
    </mdx>
    <mdx n="0" f="v">
      <t c="4" si="33">
        <n x="204"/>
        <n x="30"/>
        <n x="154"/>
        <n x="241" s="1"/>
      </t>
    </mdx>
    <mdx n="0" f="v">
      <t c="4" si="29">
        <n x="240"/>
        <n x="17"/>
        <n x="172"/>
        <n x="241" s="1"/>
      </t>
    </mdx>
    <mdx n="0" f="v">
      <t c="4" si="29">
        <n x="240"/>
        <n x="17"/>
        <n x="124"/>
        <n x="241" s="1"/>
      </t>
    </mdx>
    <mdx n="0" f="v">
      <t c="5" si="33">
        <n x="204"/>
        <n x="30"/>
        <n x="24"/>
        <n x="34"/>
        <n x="241" s="1"/>
      </t>
    </mdx>
    <mdx n="0" f="v">
      <t c="4" si="29">
        <n x="204"/>
        <n x="17"/>
        <n x="197"/>
        <n x="241" s="1"/>
      </t>
    </mdx>
    <mdx n="0" f="v">
      <t c="4" si="29">
        <n x="240"/>
        <n x="17"/>
        <n x="141"/>
        <n x="241" s="1"/>
      </t>
    </mdx>
    <mdx n="0" f="v">
      <t c="4" si="29">
        <n x="240"/>
        <n x="17"/>
        <n x="93"/>
        <n x="241" s="1"/>
      </t>
    </mdx>
    <mdx n="0" f="v">
      <t c="4" si="33">
        <n x="240"/>
        <n x="32"/>
        <n x="135"/>
        <n x="241" s="1"/>
      </t>
    </mdx>
    <mdx n="0" f="v">
      <t c="4" si="33">
        <n x="240"/>
        <n x="32"/>
        <n x="86"/>
        <n x="241" s="1"/>
      </t>
    </mdx>
    <mdx n="0" f="v">
      <t c="4" si="29">
        <n x="204"/>
        <n x="17"/>
        <n x="152"/>
        <n x="241" s="1"/>
      </t>
    </mdx>
    <mdx n="0" f="v">
      <t c="4" si="33">
        <n x="204"/>
        <n x="30"/>
        <n x="194"/>
        <n x="241" s="1"/>
      </t>
    </mdx>
    <mdx n="0" f="v">
      <t c="4" si="29">
        <n x="240"/>
        <n x="31"/>
        <n x="148"/>
        <n x="241" s="1"/>
      </t>
    </mdx>
    <mdx n="0" f="v">
      <t c="4" si="33">
        <n x="204"/>
        <n x="30"/>
        <n x="168"/>
        <n x="241" s="1"/>
      </t>
    </mdx>
    <mdx n="0" f="v">
      <t c="4" si="29">
        <n x="204"/>
        <n x="31"/>
        <n x="97"/>
        <n x="241" s="1"/>
      </t>
    </mdx>
    <mdx n="0" f="v">
      <t c="4" si="33">
        <n x="204"/>
        <n x="32"/>
        <n x="201"/>
        <n x="241" s="1"/>
      </t>
    </mdx>
    <mdx n="0" f="v">
      <t c="4" si="33">
        <n x="204"/>
        <n x="32"/>
        <n x="177"/>
        <n x="241" s="1"/>
      </t>
    </mdx>
    <mdx n="0" f="v">
      <t c="4" si="33">
        <n x="240"/>
        <n x="30"/>
        <n x="95"/>
        <n x="241" s="1"/>
      </t>
    </mdx>
    <mdx n="0" f="v">
      <t c="4" si="33">
        <n x="204"/>
        <n x="30"/>
        <n x="97"/>
        <n x="241" s="1"/>
      </t>
    </mdx>
    <mdx n="0" f="v">
      <t c="5" si="33">
        <n x="204"/>
        <n x="30"/>
        <n x="19"/>
        <n x="34"/>
        <n x="241" s="1"/>
      </t>
    </mdx>
    <mdx n="0" f="v">
      <t c="4" si="33">
        <n x="204"/>
        <n x="32"/>
        <n x="38"/>
        <n x="241" s="1"/>
      </t>
    </mdx>
    <mdx n="0" f="v">
      <t c="4" si="33">
        <n x="204"/>
        <n x="30"/>
        <n x="46"/>
        <n x="241" s="1"/>
      </t>
    </mdx>
    <mdx n="0" f="v">
      <t c="4" si="33">
        <n x="240"/>
        <n x="32"/>
        <n x="146"/>
        <n x="241" s="1"/>
      </t>
    </mdx>
    <mdx n="0" f="v">
      <t c="5" si="29">
        <n x="204"/>
        <n x="17"/>
        <n x="202"/>
        <n x="23"/>
        <n x="241" s="1"/>
      </t>
    </mdx>
    <mdx n="0" f="v">
      <t c="4" si="33">
        <n x="240"/>
        <n x="30"/>
        <n x="42"/>
        <n x="241" s="1"/>
      </t>
    </mdx>
    <mdx n="0" f="v">
      <t c="4" si="33">
        <n x="240"/>
        <n x="32"/>
        <n x="194"/>
        <n x="241" s="1"/>
      </t>
    </mdx>
    <mdx n="0" f="v">
      <t c="4" si="33">
        <n x="240"/>
        <n x="30"/>
        <n x="36"/>
        <n x="241" s="1"/>
      </t>
    </mdx>
    <mdx n="0" f="v">
      <t c="4" si="33">
        <n x="240"/>
        <n x="30"/>
        <n x="106"/>
        <n x="241" s="1"/>
      </t>
    </mdx>
    <mdx n="0" f="v">
      <t c="4" si="33">
        <n x="204"/>
        <n x="32"/>
        <n x="97"/>
        <n x="241" s="1"/>
      </t>
    </mdx>
    <mdx n="0" f="v">
      <t c="4" si="29">
        <n x="204"/>
        <n x="37"/>
        <n x="17"/>
        <n x="241" s="1"/>
      </t>
    </mdx>
    <mdx n="0" f="v">
      <t c="4" si="29">
        <n x="240"/>
        <n x="17"/>
        <n x="187"/>
        <n x="241" s="1"/>
      </t>
    </mdx>
    <mdx n="0" f="v">
      <t c="4" si="29">
        <n x="240"/>
        <n x="31"/>
        <n x="50"/>
        <n x="241" s="1"/>
      </t>
    </mdx>
    <mdx n="0" f="v">
      <t c="5" si="33">
        <n x="204"/>
        <n x="30"/>
        <n x="11"/>
        <n x="35"/>
        <n x="241" s="1"/>
      </t>
    </mdx>
    <mdx n="0" f="v">
      <t c="4" si="29">
        <n x="204"/>
        <n x="17"/>
        <n x="36"/>
        <n x="241" s="1"/>
      </t>
    </mdx>
    <mdx n="0" f="v">
      <t c="4" si="33">
        <n x="204"/>
        <n x="30"/>
        <n x="110"/>
        <n x="241" s="1"/>
      </t>
    </mdx>
    <mdx n="0" f="v">
      <t c="4" si="29">
        <n x="240"/>
        <n x="31"/>
        <n x="97"/>
        <n x="241" s="1"/>
      </t>
    </mdx>
    <mdx n="0" f="v">
      <t c="4" si="29">
        <n x="204"/>
        <n x="31"/>
        <n x="188"/>
        <n x="241" s="1"/>
      </t>
    </mdx>
    <mdx n="0" f="v">
      <t c="4" si="29">
        <n x="204"/>
        <n x="17"/>
        <n x="142"/>
        <n x="241" s="1"/>
      </t>
    </mdx>
    <mdx n="0" f="v">
      <t c="4" si="33">
        <n x="240"/>
        <n x="30"/>
        <n x="160"/>
        <n x="241" s="1"/>
      </t>
    </mdx>
    <mdx n="0" f="v">
      <t c="4" si="29">
        <n x="240"/>
        <n x="17"/>
        <n x="83"/>
        <n x="241" s="1"/>
      </t>
    </mdx>
    <mdx n="0" f="v">
      <t c="4" si="33">
        <n x="240"/>
        <n x="32"/>
        <n x="121"/>
        <n x="241" s="1"/>
      </t>
    </mdx>
    <mdx n="0" f="v">
      <t c="4" si="29">
        <n x="240"/>
        <n x="31"/>
        <n x="125"/>
        <n x="241" s="1"/>
      </t>
    </mdx>
    <mdx n="0" f="v">
      <t c="5" si="29">
        <n x="204"/>
        <n x="17"/>
        <n x="20"/>
        <n x="7"/>
        <n x="241" s="1"/>
      </t>
    </mdx>
    <mdx n="0" f="v">
      <t c="5" si="29">
        <n x="204"/>
        <n x="17"/>
        <n x="24"/>
        <n x="28"/>
        <n x="241" s="1"/>
      </t>
    </mdx>
    <mdx n="0" f="v">
      <t c="4" si="33">
        <n x="204"/>
        <n x="32"/>
        <n x="93"/>
        <n x="241" s="1"/>
      </t>
    </mdx>
    <mdx n="0" f="v">
      <t c="4" si="29">
        <n x="204"/>
        <n x="17"/>
        <n x="88"/>
        <n x="241" s="1"/>
      </t>
    </mdx>
    <mdx n="0" f="v">
      <t c="4" si="29">
        <n x="240"/>
        <n x="31"/>
        <n x="153"/>
        <n x="241" s="1"/>
      </t>
    </mdx>
    <mdx n="0" f="v">
      <t c="4" si="29">
        <n x="240"/>
        <n x="17"/>
        <n x="94"/>
        <n x="241" s="1"/>
      </t>
    </mdx>
    <mdx n="0" f="v">
      <t c="4" si="33">
        <n x="204"/>
        <n x="32"/>
        <n x="108"/>
        <n x="241" s="1"/>
      </t>
    </mdx>
    <mdx n="0" f="v">
      <t c="4" si="29">
        <n x="204"/>
        <n x="17"/>
        <n x="160"/>
        <n x="241" s="1"/>
      </t>
    </mdx>
    <mdx n="0" f="v">
      <t c="4" si="29">
        <n x="204"/>
        <n x="17"/>
        <n x="119"/>
        <n x="241" s="1"/>
      </t>
    </mdx>
    <mdx n="0" f="v">
      <t c="4" si="29">
        <n x="204"/>
        <n x="48"/>
        <n x="17"/>
        <n x="241" s="1"/>
      </t>
    </mdx>
    <mdx n="0" f="v">
      <t c="4" si="33">
        <n x="204"/>
        <n x="180"/>
        <n x="32"/>
        <n x="241" s="1"/>
      </t>
    </mdx>
    <mdx n="0" f="v">
      <t c="4" si="33">
        <n x="204"/>
        <n x="54"/>
        <n x="32"/>
        <n x="241" s="1"/>
      </t>
    </mdx>
    <mdx n="0" f="v">
      <t c="4" si="29">
        <n x="240"/>
        <n x="31"/>
        <n x="164"/>
        <n x="241" s="1"/>
      </t>
    </mdx>
    <mdx n="0" f="v">
      <t c="4" si="33">
        <n x="204"/>
        <n x="30"/>
        <n x="187"/>
        <n x="241" s="1"/>
      </t>
    </mdx>
    <mdx n="0" f="v">
      <t c="4" si="29">
        <n x="240"/>
        <n x="31"/>
        <n x="170"/>
        <n x="241" s="1"/>
      </t>
    </mdx>
    <mdx n="0" f="v">
      <t c="4" si="29">
        <n x="240"/>
        <n x="17"/>
        <n x="160"/>
        <n x="241" s="1"/>
      </t>
    </mdx>
    <mdx n="0" f="v">
      <t c="5" si="29">
        <n x="204"/>
        <n x="17"/>
        <n x="14"/>
        <n x="23"/>
        <n x="241" s="1"/>
      </t>
    </mdx>
    <mdx n="0" f="v">
      <t c="4" si="29">
        <n x="204"/>
        <n x="31"/>
        <n x="196"/>
        <n x="241" s="1"/>
      </t>
    </mdx>
    <mdx n="0" f="v">
      <t c="4" si="29">
        <n x="240"/>
        <n x="31"/>
        <n x="91"/>
        <n x="241" s="1"/>
      </t>
    </mdx>
    <mdx n="0" f="v">
      <t c="4" si="33">
        <n x="204"/>
        <n x="30"/>
        <n x="137"/>
        <n x="241" s="1"/>
      </t>
    </mdx>
    <mdx n="0" f="v">
      <t c="4" si="33">
        <n x="204"/>
        <n x="175"/>
        <n x="30"/>
        <n x="241" s="1"/>
      </t>
    </mdx>
    <mdx n="0" f="v">
      <t c="4" si="29">
        <n x="204"/>
        <n x="17"/>
        <n x="125"/>
        <n x="241" s="1"/>
      </t>
    </mdx>
    <mdx n="0" f="v">
      <t c="4" si="29">
        <n x="240"/>
        <n x="17"/>
        <n x="42"/>
        <n x="241" s="1"/>
      </t>
    </mdx>
    <mdx n="0" f="v">
      <t c="5" si="33">
        <n x="204"/>
        <n x="30"/>
        <n x="15"/>
        <n x="43"/>
        <n x="241" s="1"/>
      </t>
    </mdx>
    <mdx n="0" f="v">
      <t c="4" si="29">
        <n x="204"/>
        <n x="17"/>
        <n x="50"/>
        <n x="241" s="1"/>
      </t>
    </mdx>
    <mdx n="0" f="v">
      <t c="4" si="33">
        <n x="240"/>
        <n x="32"/>
        <n x="169"/>
        <n x="241" s="1"/>
      </t>
    </mdx>
    <mdx n="0" f="v">
      <t c="4" si="33">
        <n x="204"/>
        <n x="182"/>
        <n x="32"/>
        <n x="241" s="1"/>
      </t>
    </mdx>
    <mdx n="0" f="v">
      <t c="4" si="33">
        <n x="204"/>
        <n x="32"/>
        <n x="126"/>
        <n x="241" s="1"/>
      </t>
    </mdx>
    <mdx n="0" f="v">
      <t c="5" si="29">
        <n x="204"/>
        <n x="17"/>
        <n x="16"/>
        <n x="7"/>
        <n x="241" s="1"/>
      </t>
    </mdx>
    <mdx n="0" f="v">
      <t c="4" si="33">
        <n x="204"/>
        <n x="30"/>
        <n x="121"/>
        <n x="241" s="1"/>
      </t>
    </mdx>
    <mdx n="0" f="v">
      <t c="4" si="33">
        <n x="240"/>
        <n x="32"/>
        <n x="190"/>
        <n x="241" s="1"/>
      </t>
    </mdx>
    <mdx n="0" f="v">
      <t c="4" si="33">
        <n x="204"/>
        <n x="32"/>
        <n x="122"/>
        <n x="241" s="1"/>
      </t>
    </mdx>
    <mdx n="0" f="v">
      <t c="4" si="33">
        <n x="204"/>
        <n x="42"/>
        <n x="32"/>
        <n x="241" s="1"/>
      </t>
    </mdx>
    <mdx n="0" f="v">
      <t c="4" si="33">
        <n x="204"/>
        <n x="32"/>
        <n x="129"/>
        <n x="241" s="1"/>
      </t>
    </mdx>
    <mdx n="0" f="v">
      <t c="4" si="33">
        <n x="240"/>
        <n x="32"/>
        <n x="125"/>
        <n x="241" s="1"/>
      </t>
    </mdx>
    <mdx n="0" f="v">
      <t c="4" si="29">
        <n x="240"/>
        <n x="17"/>
        <n x="201"/>
        <n x="241" s="1"/>
      </t>
    </mdx>
    <mdx n="0" f="v">
      <t c="4" si="29">
        <n x="240"/>
        <n x="17"/>
        <n x="142"/>
        <n x="241" s="1"/>
      </t>
    </mdx>
    <mdx n="0" f="v">
      <t c="5" si="33">
        <n x="204"/>
        <n x="30"/>
        <n x="2"/>
        <n x="43"/>
        <n x="241" s="1"/>
      </t>
    </mdx>
    <mdx n="0" f="v">
      <t c="5" si="29">
        <n x="204"/>
        <n x="17"/>
        <n x="3"/>
        <n x="23"/>
        <n x="241" s="1"/>
      </t>
    </mdx>
    <mdx n="0" f="v">
      <t c="4" si="29">
        <n x="240"/>
        <n x="17"/>
        <n x="177"/>
        <n x="241" s="1"/>
      </t>
    </mdx>
    <mdx n="0" f="v">
      <t c="4" si="29">
        <n x="204"/>
        <n x="17"/>
        <n x="189"/>
        <n x="241" s="1"/>
      </t>
    </mdx>
    <mdx n="0" f="v">
      <t c="4" si="29">
        <n x="240"/>
        <n x="31"/>
        <n x="107"/>
        <n x="241" s="1"/>
      </t>
    </mdx>
    <mdx n="0" f="v">
      <t c="5" si="33">
        <n x="204"/>
        <n x="30"/>
        <n x="11"/>
        <n x="34"/>
        <n x="241" s="1"/>
      </t>
    </mdx>
    <mdx n="0" f="v">
      <t c="4" si="33">
        <n x="204"/>
        <n x="32"/>
        <n x="118"/>
        <n x="241" s="1"/>
      </t>
    </mdx>
    <mdx n="0" f="v">
      <t c="4" si="29">
        <n x="204"/>
        <n x="31"/>
        <n x="126"/>
        <n x="241" s="1"/>
      </t>
    </mdx>
    <mdx n="0" f="v">
      <t c="4" si="29">
        <n x="204"/>
        <n x="17"/>
        <n x="107"/>
        <n x="241" s="1"/>
      </t>
    </mdx>
    <mdx n="0" f="v">
      <t c="4" si="33">
        <n x="204"/>
        <n x="30"/>
        <n x="102"/>
        <n x="241" s="1"/>
      </t>
    </mdx>
    <mdx n="0" f="v">
      <t c="4" si="29">
        <n x="240"/>
        <n x="17"/>
        <n x="138"/>
        <n x="241" s="1"/>
      </t>
    </mdx>
    <mdx n="0" f="v">
      <t c="4" si="33">
        <n x="204"/>
        <n x="45"/>
        <n x="30"/>
        <n x="241" s="1"/>
      </t>
    </mdx>
    <mdx n="0" f="v">
      <t c="4" si="29">
        <n x="204"/>
        <n x="17"/>
        <n x="158"/>
        <n x="241" s="1"/>
      </t>
    </mdx>
    <mdx n="0" f="v">
      <t c="4" si="29">
        <n x="204"/>
        <n x="17"/>
        <n x="169"/>
        <n x="241" s="1"/>
      </t>
    </mdx>
    <mdx n="0" f="v">
      <t c="5" si="33">
        <n x="204"/>
        <n x="30"/>
        <n x="22"/>
        <n x="43"/>
        <n x="241" s="1"/>
      </t>
    </mdx>
    <mdx n="0" f="v">
      <t c="4" si="29">
        <n x="240"/>
        <n x="31"/>
        <n x="177"/>
        <n x="241" s="1"/>
      </t>
    </mdx>
    <mdx n="0" f="v">
      <t c="4" si="29">
        <n x="204"/>
        <n x="17"/>
        <n x="115"/>
        <n x="241" s="1"/>
      </t>
    </mdx>
    <mdx n="0" f="v">
      <t c="5" si="33">
        <n x="204"/>
        <n x="30"/>
        <n x="13"/>
        <n x="43"/>
        <n x="241" s="1"/>
      </t>
    </mdx>
    <mdx n="0" f="v">
      <t c="4" si="29">
        <n x="240"/>
        <n x="17"/>
        <n x="95"/>
        <n x="241" s="1"/>
      </t>
    </mdx>
    <mdx n="0" f="v">
      <t c="4" si="29">
        <n x="240"/>
        <n x="31"/>
        <n x="188"/>
        <n x="241" s="1"/>
      </t>
    </mdx>
    <mdx n="0" f="v">
      <t c="4" si="29">
        <n x="240"/>
        <n x="17"/>
        <n x="106"/>
        <n x="241" s="1"/>
      </t>
    </mdx>
    <mdx n="0" f="v">
      <t c="5" si="29">
        <n x="204"/>
        <n x="17"/>
        <n x="10"/>
        <n x="23"/>
        <n x="241" s="1"/>
      </t>
    </mdx>
    <mdx n="0" f="v">
      <t c="4" si="29">
        <n x="240"/>
        <n x="31"/>
        <n x="182"/>
        <n x="241" s="1"/>
      </t>
    </mdx>
    <mdx n="0" f="v">
      <t c="4" si="33">
        <n x="240"/>
        <n x="30"/>
        <n x="127"/>
        <n x="241" s="1"/>
      </t>
    </mdx>
    <mdx n="0" f="v">
      <t c="4" si="29">
        <n x="204"/>
        <n x="47"/>
        <n x="17"/>
        <n x="241" s="1"/>
      </t>
    </mdx>
    <mdx n="0" f="v">
      <t c="4" si="29">
        <n x="204"/>
        <n x="17"/>
        <n x="83"/>
        <n x="241" s="1"/>
      </t>
    </mdx>
    <mdx n="0" f="v">
      <t c="4" si="29">
        <n x="204"/>
        <n x="17"/>
        <n x="118"/>
        <n x="241" s="1"/>
      </t>
    </mdx>
    <mdx n="0" f="v">
      <t c="4" si="33">
        <n x="240"/>
        <n x="32"/>
        <n x="200"/>
        <n x="241" s="1"/>
      </t>
    </mdx>
    <mdx n="0" f="v">
      <t c="5" si="29">
        <n x="204"/>
        <n x="17"/>
        <n x="13"/>
        <n x="28"/>
        <n x="241" s="1"/>
      </t>
    </mdx>
    <mdx n="0" f="v">
      <t c="4" si="33">
        <n x="240"/>
        <n x="30"/>
        <n x="196"/>
        <n x="241" s="1"/>
      </t>
    </mdx>
    <mdx n="0" f="v">
      <t c="4" si="33">
        <n x="204"/>
        <n x="32"/>
        <n x="128"/>
        <n x="241" s="1"/>
      </t>
    </mdx>
    <mdx n="0" f="v">
      <t c="4" si="33">
        <n x="240"/>
        <n x="32"/>
        <n x="50"/>
        <n x="241" s="1"/>
      </t>
    </mdx>
    <mdx n="0" f="v">
      <t c="4" si="33">
        <n x="204"/>
        <n x="32"/>
        <n x="145"/>
        <n x="241" s="1"/>
      </t>
    </mdx>
    <mdx n="0" f="v">
      <t c="4" si="29">
        <n x="204"/>
        <n x="17"/>
        <n x="148"/>
        <n x="241" s="1"/>
      </t>
    </mdx>
    <mdx n="0" f="v">
      <t c="5" si="33">
        <n x="204"/>
        <n x="30"/>
        <n x="21"/>
        <n x="43"/>
        <n x="241" s="1"/>
      </t>
    </mdx>
    <mdx n="0" f="v">
      <t c="4" si="33">
        <n x="204"/>
        <n x="30"/>
        <n x="180"/>
        <n x="241" s="1"/>
      </t>
    </mdx>
    <mdx n="0" f="v">
      <t c="4" si="33">
        <n x="204"/>
        <n x="30"/>
        <n x="107"/>
        <n x="241" s="1"/>
      </t>
    </mdx>
    <mdx n="0" f="v">
      <t c="4" si="33">
        <n x="204"/>
        <n x="32"/>
        <n x="167"/>
        <n x="241" s="1"/>
      </t>
    </mdx>
    <mdx n="0" f="v">
      <t c="5" si="33">
        <n x="204"/>
        <n x="30"/>
        <n x="10"/>
        <n x="43"/>
        <n x="241" s="1"/>
      </t>
    </mdx>
    <mdx n="0" f="v">
      <t c="4" si="33">
        <n x="240"/>
        <n x="32"/>
        <n x="126"/>
        <n x="241" s="1"/>
      </t>
    </mdx>
    <mdx n="0" f="v">
      <t c="4" si="29">
        <n x="204"/>
        <n x="31"/>
        <n x="116"/>
        <n x="241" s="1"/>
      </t>
    </mdx>
    <mdx n="0" f="v">
      <t c="4" si="29">
        <n x="204"/>
        <n x="31"/>
        <n x="134"/>
        <n x="241" s="1"/>
      </t>
    </mdx>
    <mdx n="0" f="v">
      <t c="4" si="33">
        <n x="204"/>
        <n x="32"/>
        <n x="91"/>
        <n x="241" s="1"/>
      </t>
    </mdx>
    <mdx n="0" f="v">
      <t c="4" si="29">
        <n x="240"/>
        <n x="17"/>
        <n x="184"/>
        <n x="241" s="1"/>
      </t>
    </mdx>
    <mdx n="0" f="v">
      <t c="4" si="29">
        <n x="240"/>
        <n x="17"/>
        <n x="191"/>
        <n x="241" s="1"/>
      </t>
    </mdx>
    <mdx n="0" f="v">
      <t c="4" si="29">
        <n x="204"/>
        <n x="17"/>
        <n x="93"/>
        <n x="241" s="1"/>
      </t>
    </mdx>
    <mdx n="0" f="v">
      <t c="4" si="33">
        <n x="204"/>
        <n x="30"/>
        <n x="105"/>
        <n x="241" s="1"/>
      </t>
    </mdx>
    <mdx n="0" f="v">
      <t c="4" si="33">
        <n x="240"/>
        <n x="32"/>
        <n x="36"/>
        <n x="241" s="1"/>
      </t>
    </mdx>
    <mdx n="0" f="v">
      <t c="5" si="29">
        <n x="204"/>
        <n x="17"/>
        <n x="4"/>
        <n x="28"/>
        <n x="241" s="1"/>
      </t>
    </mdx>
    <mdx n="0" f="v">
      <t c="4" si="33">
        <n x="204"/>
        <n x="30"/>
        <n x="148"/>
        <n x="241" s="1"/>
      </t>
    </mdx>
    <mdx n="0" f="v">
      <t c="4" si="29">
        <n x="204"/>
        <n x="17"/>
        <n x="127"/>
        <n x="241" s="1"/>
      </t>
    </mdx>
    <mdx n="0" f="v">
      <t c="4" si="29">
        <n x="204"/>
        <n x="38"/>
        <n x="17"/>
        <n x="241" s="1"/>
      </t>
    </mdx>
    <mdx n="0" f="v">
      <t c="4" si="33">
        <n x="204"/>
        <n x="30"/>
        <n x="171"/>
        <n x="241" s="1"/>
      </t>
    </mdx>
    <mdx n="0" f="v">
      <t c="4" si="33">
        <n x="240"/>
        <n x="32"/>
        <n x="91"/>
        <n x="241" s="1"/>
      </t>
    </mdx>
    <mdx n="0" f="v">
      <t c="4" si="29">
        <n x="240"/>
        <n x="17"/>
        <n x="36"/>
        <n x="241" s="1"/>
      </t>
    </mdx>
    <mdx n="0" f="v">
      <t c="4" si="33">
        <n x="240"/>
        <n x="32"/>
        <n x="188"/>
        <n x="241" s="1"/>
      </t>
    </mdx>
    <mdx n="0" f="v">
      <t c="4" si="29">
        <n x="204"/>
        <n x="17"/>
        <n x="137"/>
        <n x="241" s="1"/>
      </t>
    </mdx>
    <mdx n="0" f="v">
      <t c="4" si="29">
        <n x="204"/>
        <n x="17"/>
        <n x="164"/>
        <n x="241" s="1"/>
      </t>
    </mdx>
    <mdx n="0" f="v">
      <t c="4" si="33">
        <n x="204"/>
        <n x="30"/>
        <n x="119"/>
        <n x="241" s="1"/>
      </t>
    </mdx>
    <mdx n="0" f="v">
      <t c="4" si="33">
        <n x="204"/>
        <n x="32"/>
        <n x="161"/>
        <n x="241" s="1"/>
      </t>
    </mdx>
    <mdx n="0" f="v">
      <t c="4" si="29">
        <n x="240"/>
        <n x="17"/>
        <n x="46"/>
        <n x="241" s="1"/>
      </t>
    </mdx>
    <mdx n="0" f="v">
      <t c="4" si="33">
        <n x="240"/>
        <n x="32"/>
        <n x="46"/>
        <n x="241" s="1"/>
      </t>
    </mdx>
    <mdx n="0" f="v">
      <t c="4" si="33">
        <n x="240"/>
        <n x="30"/>
        <n x="117"/>
        <n x="241" s="1"/>
      </t>
    </mdx>
    <mdx n="0" f="v">
      <t c="4" si="29">
        <n x="204"/>
        <n x="17"/>
        <n x="86"/>
        <n x="241" s="1"/>
      </t>
    </mdx>
    <mdx n="0" f="v">
      <t c="4" si="29">
        <n x="204"/>
        <n x="17"/>
        <n x="128"/>
        <n x="241" s="1"/>
      </t>
    </mdx>
    <mdx n="0" f="v">
      <t c="4" si="33">
        <n x="240"/>
        <n x="32"/>
        <n x="196"/>
        <n x="241" s="1"/>
      </t>
    </mdx>
    <mdx n="0" f="v">
      <t c="4" si="29">
        <n x="204"/>
        <n x="31"/>
        <n x="113"/>
        <n x="241" s="1"/>
      </t>
    </mdx>
    <mdx n="0" f="v">
      <t c="4" si="33">
        <n x="240"/>
        <n x="32"/>
        <n x="191"/>
        <n x="241" s="1"/>
      </t>
    </mdx>
    <mdx n="0" f="v">
      <t c="4" si="29">
        <n x="204"/>
        <n x="31"/>
        <n x="147"/>
        <n x="241" s="1"/>
      </t>
    </mdx>
    <mdx n="0" f="v">
      <t c="4" si="29">
        <n x="240"/>
        <n x="17"/>
        <n x="92"/>
        <n x="241" s="1"/>
      </t>
    </mdx>
    <mdx n="0" f="v">
      <t c="4" si="29">
        <n x="240"/>
        <n x="31"/>
        <n x="103"/>
        <n x="241" s="1"/>
      </t>
    </mdx>
    <mdx n="0" f="v">
      <t c="4" si="33">
        <n x="204"/>
        <n x="30"/>
        <n x="109"/>
        <n x="241" s="1"/>
      </t>
    </mdx>
    <mdx n="0" f="v">
      <t c="4" si="33">
        <n x="240"/>
        <n x="32"/>
        <n x="95"/>
        <n x="241" s="1"/>
      </t>
    </mdx>
    <mdx n="0" f="v">
      <t c="4" si="33">
        <n x="204"/>
        <n x="30"/>
        <n x="131"/>
        <n x="241" s="1"/>
      </t>
    </mdx>
    <mdx n="0" f="v">
      <t c="4" si="29">
        <n x="240"/>
        <n x="31"/>
        <n x="93"/>
        <n x="241" s="1"/>
      </t>
    </mdx>
    <mdx n="0" f="v">
      <t c="4" si="33">
        <n x="204"/>
        <n x="32"/>
        <n x="200"/>
        <n x="241" s="1"/>
      </t>
    </mdx>
    <mdx n="0" f="v">
      <t c="4" si="33">
        <n x="240"/>
        <n x="30"/>
        <n x="173"/>
        <n x="241" s="1"/>
      </t>
    </mdx>
    <mdx n="0" f="v">
      <t c="4" si="29">
        <n x="240"/>
        <n x="31"/>
        <n x="162"/>
        <n x="241" s="1"/>
      </t>
    </mdx>
    <mdx n="0" f="v">
      <t c="4" si="29">
        <n x="240"/>
        <n x="31"/>
        <n x="132"/>
        <n x="241" s="1"/>
      </t>
    </mdx>
    <mdx n="0" f="v">
      <t c="4" si="33">
        <n x="204"/>
        <n x="30"/>
        <n x="146"/>
        <n x="241" s="1"/>
      </t>
    </mdx>
    <mdx n="0" f="v">
      <t c="4" si="33">
        <n x="240"/>
        <n x="30"/>
        <n x="177"/>
        <n x="241" s="1"/>
      </t>
    </mdx>
    <mdx n="0" f="v">
      <t c="4" si="33">
        <n x="240"/>
        <n x="32"/>
        <n x="89"/>
        <n x="241" s="1"/>
      </t>
    </mdx>
    <mdx n="0" f="v">
      <t c="4" si="29">
        <n x="240"/>
        <n x="17"/>
        <n x="199"/>
        <n x="241" s="1"/>
      </t>
    </mdx>
    <mdx n="0" f="v">
      <t c="4" si="33">
        <n x="204"/>
        <n x="30"/>
        <n x="138"/>
        <n x="241" s="1"/>
      </t>
    </mdx>
    <mdx n="0" f="v">
      <t c="4" si="33">
        <n x="204"/>
        <n x="30"/>
        <n x="140"/>
        <n x="241" s="1"/>
      </t>
    </mdx>
    <mdx n="0" f="v">
      <t c="4" si="29">
        <n x="204"/>
        <n x="17"/>
        <n x="161"/>
        <n x="241" s="1"/>
      </t>
    </mdx>
    <mdx n="0" f="v">
      <t c="4" si="33">
        <n x="204"/>
        <n x="30"/>
        <n x="93"/>
        <n x="241" s="1"/>
      </t>
    </mdx>
    <mdx n="0" f="v">
      <t c="4" si="33">
        <n x="204"/>
        <n x="30"/>
        <n x="172"/>
        <n x="241" s="1"/>
      </t>
    </mdx>
    <mdx n="0" f="v">
      <t c="4" si="29">
        <n x="240"/>
        <n x="31"/>
        <n x="86"/>
        <n x="241" s="1"/>
      </t>
    </mdx>
    <mdx n="0" f="v">
      <t c="4" si="29">
        <n x="204"/>
        <n x="31"/>
        <n x="94"/>
        <n x="241" s="1"/>
      </t>
    </mdx>
    <mdx n="0" f="v">
      <t c="4" si="29">
        <n x="204"/>
        <n x="31"/>
        <n x="140"/>
        <n x="241" s="1"/>
      </t>
    </mdx>
    <mdx n="0" f="v">
      <t c="4" si="33">
        <n x="204"/>
        <n x="32"/>
        <n x="110"/>
        <n x="241" s="1"/>
      </t>
    </mdx>
    <mdx n="0" f="v">
      <t c="4" si="29">
        <n x="240"/>
        <n x="17"/>
        <n x="159"/>
        <n x="241" s="1"/>
      </t>
    </mdx>
    <mdx n="0" f="v">
      <t c="4" si="33">
        <n x="204"/>
        <n x="32"/>
        <n x="45"/>
        <n x="241" s="1"/>
      </t>
    </mdx>
    <mdx n="0" f="v">
      <t c="4" si="29">
        <n x="240"/>
        <n x="31"/>
        <n x="36"/>
        <n x="241" s="1"/>
      </t>
    </mdx>
    <mdx n="0" f="v">
      <t c="5" si="29">
        <n x="204"/>
        <n x="17"/>
        <n x="16"/>
        <n x="28"/>
        <n x="241" s="1"/>
      </t>
    </mdx>
    <mdx n="0" f="v">
      <t c="4" si="29">
        <n x="240"/>
        <n x="17"/>
        <n x="97"/>
        <n x="241" s="1"/>
      </t>
    </mdx>
    <mdx n="0" f="v">
      <t c="4" si="29">
        <n x="240"/>
        <n x="17"/>
        <n x="117"/>
        <n x="241" s="1"/>
      </t>
    </mdx>
    <mdx n="0" f="v">
      <t c="4" si="33">
        <n x="204"/>
        <n x="32"/>
        <n x="196"/>
        <n x="241" s="1"/>
      </t>
    </mdx>
    <mdx n="0" f="v">
      <t c="4" si="29">
        <n x="240"/>
        <n x="17"/>
        <n x="154"/>
        <n x="241" s="1"/>
      </t>
    </mdx>
    <mdx n="0" f="v">
      <t c="4" si="33">
        <n x="204"/>
        <n x="32"/>
        <n x="124"/>
        <n x="241" s="1"/>
      </t>
    </mdx>
    <mdx n="0" f="v">
      <t c="4" si="33">
        <n x="240"/>
        <n x="32"/>
        <n x="137"/>
        <n x="241" s="1"/>
      </t>
    </mdx>
    <mdx n="0" f="v">
      <t c="4" si="33">
        <n x="204"/>
        <n x="30"/>
        <n x="184"/>
        <n x="241" s="1"/>
      </t>
    </mdx>
    <mdx n="0" f="v">
      <t c="4" si="33">
        <n x="240"/>
        <n x="30"/>
        <n x="131"/>
        <n x="241" s="1"/>
      </t>
    </mdx>
    <mdx n="0" f="v">
      <t c="4" si="33">
        <n x="204"/>
        <n x="30"/>
        <n x="83"/>
        <n x="241" s="1"/>
      </t>
    </mdx>
    <mdx n="0" f="v">
      <t c="4" si="33">
        <n x="240"/>
        <n x="32"/>
        <n x="108"/>
        <n x="241" s="1"/>
      </t>
    </mdx>
    <mdx n="0" f="v">
      <t c="4" si="33">
        <n x="204"/>
        <n x="32"/>
        <n x="102"/>
        <n x="241" s="1"/>
      </t>
    </mdx>
    <mdx n="0" f="v">
      <t c="4" si="33">
        <n x="240"/>
        <n x="32"/>
        <n x="160"/>
        <n x="241" s="1"/>
      </t>
    </mdx>
    <mdx n="0" f="v">
      <t c="5" si="29">
        <n x="204"/>
        <n x="17"/>
        <n x="15"/>
        <n x="28"/>
        <n x="241" s="1"/>
      </t>
    </mdx>
    <mdx n="0" f="v">
      <t c="4" si="33">
        <n x="204"/>
        <n x="32"/>
        <n x="92"/>
        <n x="241" s="1"/>
      </t>
    </mdx>
    <mdx n="0" f="v">
      <t c="4" si="29">
        <n x="204"/>
        <n x="31"/>
        <n x="107"/>
        <n x="241" s="1"/>
      </t>
    </mdx>
    <mdx n="0" f="v">
      <t c="4" si="29">
        <n x="204"/>
        <n x="17"/>
        <n x="184"/>
        <n x="241" s="1"/>
      </t>
    </mdx>
    <mdx n="0" f="v">
      <t c="4" si="29">
        <n x="204"/>
        <n x="31"/>
        <n x="175"/>
        <n x="241" s="1"/>
      </t>
    </mdx>
    <mdx n="0" f="v">
      <t c="4" si="33">
        <n x="204"/>
        <n x="30"/>
        <n x="111"/>
        <n x="241" s="1"/>
      </t>
    </mdx>
    <mdx n="0" f="v">
      <t c="4" si="29">
        <n x="240"/>
        <n x="31"/>
        <n x="172"/>
        <n x="241" s="1"/>
      </t>
    </mdx>
    <mdx n="0" f="v">
      <t c="4" si="33">
        <n x="240"/>
        <n x="32"/>
        <n x="37"/>
        <n x="241" s="1"/>
      </t>
    </mdx>
    <mdx n="0" f="v">
      <t c="4" si="33">
        <n x="204"/>
        <n x="30"/>
        <n x="112"/>
        <n x="241" s="1"/>
      </t>
    </mdx>
    <mdx n="0" f="v">
      <t c="4" si="29">
        <n x="204"/>
        <n x="17"/>
        <n x="121"/>
        <n x="241" s="1"/>
      </t>
    </mdx>
    <mdx n="0" f="v">
      <t c="4" si="33">
        <n x="240"/>
        <n x="32"/>
        <n x="83"/>
        <n x="241" s="1"/>
      </t>
    </mdx>
    <mdx n="0" f="v">
      <t c="5" si="33">
        <n x="204"/>
        <n x="30"/>
        <n x="5"/>
        <n x="35"/>
        <n x="241" s="1"/>
      </t>
    </mdx>
    <mdx n="0" f="v">
      <t c="4" si="33">
        <n x="204"/>
        <n x="30"/>
        <n x="128"/>
        <n x="241" s="1"/>
      </t>
    </mdx>
    <mdx n="0" f="v">
      <t c="4" si="33">
        <n x="240"/>
        <n x="32"/>
        <n x="103"/>
        <n x="241" s="1"/>
      </t>
    </mdx>
    <mdx n="0" f="v">
      <t c="4" si="29">
        <n x="204"/>
        <n x="31"/>
        <n x="130"/>
        <n x="241" s="1"/>
      </t>
    </mdx>
    <mdx n="0" f="v">
      <t c="4" si="29">
        <n x="240"/>
        <n x="31"/>
        <n x="121"/>
        <n x="241" s="1"/>
      </t>
    </mdx>
    <mdx n="0" f="v">
      <t c="4" si="33">
        <n x="240"/>
        <n x="30"/>
        <n x="169"/>
        <n x="241" s="1"/>
      </t>
    </mdx>
    <mdx n="0" f="v">
      <t c="4" si="29">
        <n x="204"/>
        <n x="17"/>
        <n x="170"/>
        <n x="241" s="1"/>
      </t>
    </mdx>
    <mdx n="0" f="v">
      <t c="4" si="33">
        <n x="204"/>
        <n x="32"/>
        <n x="144"/>
        <n x="241" s="1"/>
      </t>
    </mdx>
    <mdx n="0" f="v">
      <t c="4" si="33">
        <n x="240"/>
        <n x="32"/>
        <n x="42"/>
        <n x="241" s="1"/>
      </t>
    </mdx>
    <mdx n="0" f="v">
      <t c="4" si="29">
        <n x="240"/>
        <n x="17"/>
        <n x="144"/>
        <n x="241" s="1"/>
      </t>
    </mdx>
    <mdx n="0" f="v">
      <t c="4" si="33">
        <n x="240"/>
        <n x="30"/>
        <n x="92"/>
        <n x="241" s="1"/>
      </t>
    </mdx>
    <mdx n="0" f="v">
      <t c="4" si="29">
        <n x="204"/>
        <n x="31"/>
        <n x="148"/>
        <n x="241" s="1"/>
      </t>
    </mdx>
    <mdx n="0" f="v">
      <t c="4" si="33">
        <n x="240"/>
        <n x="32"/>
        <n x="198"/>
        <n x="241" s="1"/>
      </t>
    </mdx>
    <mdx n="0" f="v">
      <t c="4" si="29">
        <n x="204"/>
        <n x="17"/>
        <n x="131"/>
        <n x="241" s="1"/>
      </t>
    </mdx>
    <mdx n="0" f="v">
      <t c="4" si="29">
        <n x="204"/>
        <n x="17"/>
        <n x="44"/>
        <n x="241" s="1"/>
      </t>
    </mdx>
    <mdx n="0" f="v">
      <t c="4" si="33">
        <n x="240"/>
        <n x="32"/>
        <n x="129"/>
        <n x="241" s="1"/>
      </t>
    </mdx>
    <mdx n="0" f="v">
      <t c="4" si="29">
        <n x="240"/>
        <n x="31"/>
        <n x="38"/>
        <n x="241" s="1"/>
      </t>
    </mdx>
    <mdx n="0" f="v">
      <t c="4" si="33">
        <n x="204"/>
        <n x="47"/>
        <n x="30"/>
        <n x="241" s="1"/>
      </t>
    </mdx>
    <mdx n="0" f="v">
      <t c="4" si="29">
        <n x="204"/>
        <n x="17"/>
        <n x="85"/>
        <n x="241" s="1"/>
      </t>
    </mdx>
    <mdx n="0" f="v">
      <t c="4" si="33">
        <n x="204"/>
        <n x="32"/>
        <n x="98"/>
        <n x="241" s="1"/>
      </t>
    </mdx>
    <mdx n="0" f="v">
      <t c="4" si="33">
        <n x="204"/>
        <n x="34"/>
        <n x="32"/>
        <n x="241" s="1"/>
      </t>
    </mdx>
    <mdx n="0" f="v">
      <t c="4" si="29">
        <n x="240"/>
        <n x="17"/>
        <n x="166"/>
        <n x="241" s="1"/>
      </t>
    </mdx>
    <mdx n="0" f="v">
      <t c="4" si="33">
        <n x="240"/>
        <n x="30"/>
        <n x="152"/>
        <n x="241" s="1"/>
      </t>
    </mdx>
    <mdx n="0" f="v">
      <t c="4" si="33">
        <n x="204"/>
        <n x="176"/>
        <n x="32"/>
        <n x="241" s="1"/>
      </t>
    </mdx>
    <mdx n="0" f="v">
      <t c="4" si="29">
        <n x="240"/>
        <n x="31"/>
        <n x="166"/>
        <n x="241" s="1"/>
      </t>
    </mdx>
    <mdx n="0" f="v">
      <t c="4" si="29">
        <n x="204"/>
        <n x="31"/>
        <n x="165"/>
        <n x="241" s="1"/>
      </t>
    </mdx>
    <mdx n="0" f="v">
      <t c="5" si="33">
        <n x="204"/>
        <n x="30"/>
        <n x="26"/>
        <n x="43"/>
        <n x="241" s="1"/>
      </t>
    </mdx>
    <mdx n="0" f="v">
      <t c="5" si="29">
        <n x="204"/>
        <n x="17"/>
        <n x="8"/>
        <n x="23"/>
        <n x="241" s="1"/>
      </t>
    </mdx>
    <mdx n="0" f="v">
      <t c="4" si="29">
        <n x="240"/>
        <n x="31"/>
        <n x="150"/>
        <n x="241" s="1"/>
      </t>
    </mdx>
    <mdx n="0" f="v">
      <t c="4" si="33">
        <n x="204"/>
        <n x="32"/>
        <n x="104"/>
        <n x="241" s="1"/>
      </t>
    </mdx>
    <mdx n="0" f="v">
      <t c="4" si="33">
        <n x="204"/>
        <n x="30"/>
        <n x="42"/>
        <n x="241" s="1"/>
      </t>
    </mdx>
    <mdx n="0" f="v">
      <t c="4" si="29">
        <n x="204"/>
        <n x="43"/>
        <n x="17"/>
        <n x="241" s="1"/>
      </t>
    </mdx>
    <mdx n="0" f="v">
      <t c="4" si="29">
        <n x="240"/>
        <n x="31"/>
        <n x="141"/>
        <n x="241" s="1"/>
      </t>
    </mdx>
    <mdx n="0" f="v">
      <t c="4" si="33">
        <n x="204"/>
        <n x="32"/>
        <n x="46"/>
        <n x="241" s="1"/>
      </t>
    </mdx>
    <mdx n="0" f="v">
      <t c="4" si="29">
        <n x="240"/>
        <n x="17"/>
        <n x="200"/>
        <n x="241" s="1"/>
      </t>
    </mdx>
    <mdx n="0" f="v">
      <t c="5" si="33">
        <n x="204"/>
        <n x="30"/>
        <n x="202"/>
        <n x="34"/>
        <n x="241" s="1"/>
      </t>
    </mdx>
    <mdx n="0" f="v">
      <t c="4" si="33">
        <n x="204"/>
        <n x="47"/>
        <n x="32"/>
        <n x="241" s="1"/>
      </t>
    </mdx>
    <mdx n="0" f="v">
      <t c="4" si="29">
        <n x="204"/>
        <n x="17"/>
        <n x="38"/>
        <n x="241" s="1"/>
      </t>
    </mdx>
    <mdx n="0" f="v">
      <t c="4" si="33">
        <n x="204"/>
        <n x="38"/>
        <n x="32"/>
        <n x="241" s="1"/>
      </t>
    </mdx>
    <mdx n="0" f="v">
      <t c="4" si="29">
        <n x="204"/>
        <n x="31"/>
        <n x="92"/>
        <n x="241" s="1"/>
      </t>
    </mdx>
    <mdx n="0" f="v">
      <t c="4" si="33">
        <n x="204"/>
        <n x="32"/>
        <n x="96"/>
        <n x="241" s="1"/>
      </t>
    </mdx>
    <mdx n="0" f="v">
      <t c="4" si="29">
        <n x="240"/>
        <n x="17"/>
        <n x="127"/>
        <n x="241" s="1"/>
      </t>
    </mdx>
    <mdx n="0" f="v">
      <t c="4" si="29">
        <n x="240"/>
        <n x="17"/>
        <n x="125"/>
        <n x="241" s="1"/>
      </t>
    </mdx>
    <mdx n="0" f="v">
      <t c="4" si="33">
        <n x="240"/>
        <n x="30"/>
        <n x="102"/>
        <n x="241" s="1"/>
      </t>
    </mdx>
    <mdx n="0" f="v">
      <t c="4" si="33">
        <n x="204"/>
        <n x="30"/>
        <n x="50"/>
        <n x="241" s="1"/>
      </t>
    </mdx>
    <mdx n="0" f="v">
      <t c="4" si="33">
        <n x="204"/>
        <n x="30"/>
        <n x="38"/>
        <n x="241" s="1"/>
      </t>
    </mdx>
    <mdx n="0" f="v">
      <t c="4" si="33">
        <n x="240"/>
        <n x="32"/>
        <n x="172"/>
        <n x="241" s="1"/>
      </t>
    </mdx>
    <mdx n="0" f="v">
      <t c="4" si="29">
        <n x="204"/>
        <n x="31"/>
        <n x="161"/>
        <n x="241" s="1"/>
      </t>
    </mdx>
    <mdx n="0" f="v">
      <t c="5" si="33">
        <n x="204"/>
        <n x="30"/>
        <n x="20"/>
        <n x="35"/>
        <n x="241" s="1"/>
      </t>
    </mdx>
    <mdx n="0" f="v">
      <t c="4" si="29">
        <n x="240"/>
        <n x="31"/>
        <n x="193"/>
        <n x="241" s="1"/>
      </t>
    </mdx>
    <mdx n="0" f="v">
      <t c="4" si="29">
        <n x="204"/>
        <n x="31"/>
        <n x="95"/>
        <n x="241" s="1"/>
      </t>
    </mdx>
    <mdx n="0" f="v">
      <t c="4" si="29">
        <n x="204"/>
        <n x="31"/>
        <n x="103"/>
        <n x="241" s="1"/>
      </t>
    </mdx>
    <mdx n="0" f="v">
      <t c="4" si="33">
        <n x="204"/>
        <n x="32"/>
        <n x="162"/>
        <n x="241" s="1"/>
      </t>
    </mdx>
    <mdx n="0" f="v">
      <t c="4" si="33">
        <n x="204"/>
        <n x="30"/>
        <n x="160"/>
        <n x="241" s="1"/>
      </t>
    </mdx>
    <mdx n="0" f="v">
      <t c="4" si="29">
        <n x="204"/>
        <n x="31"/>
        <n x="124"/>
        <n x="241" s="1"/>
      </t>
    </mdx>
    <mdx n="0" f="v">
      <t c="4" si="33">
        <n x="204"/>
        <n x="38"/>
        <n x="30"/>
        <n x="241" s="1"/>
      </t>
    </mdx>
    <mdx n="0" f="v">
      <t c="4" si="29">
        <n x="240"/>
        <n x="31"/>
        <n x="118"/>
        <n x="241" s="1"/>
      </t>
    </mdx>
    <mdx n="0" f="v">
      <t c="4" si="33">
        <n x="240"/>
        <n x="30"/>
        <n x="168"/>
        <n x="241" s="1"/>
      </t>
    </mdx>
    <mdx n="0" f="v">
      <t c="4" si="33">
        <n x="240"/>
        <n x="30"/>
        <n x="188"/>
        <n x="241" s="1"/>
      </t>
    </mdx>
    <mdx n="0" f="v">
      <t c="4" si="33">
        <n x="240"/>
        <n x="32"/>
        <n x="107"/>
        <n x="241" s="1"/>
      </t>
    </mdx>
    <mdx n="0" f="v">
      <t c="5" si="29">
        <n x="204"/>
        <n x="17"/>
        <n x="4"/>
        <n x="7"/>
        <n x="241" s="1"/>
      </t>
    </mdx>
    <mdx n="0" f="v">
      <t c="4" si="33">
        <n x="240"/>
        <n x="30"/>
        <n x="164"/>
        <n x="241" s="1"/>
      </t>
    </mdx>
    <mdx n="0" f="v">
      <t c="4" si="33">
        <n x="204"/>
        <n x="32"/>
        <n x="198"/>
        <n x="241" s="1"/>
      </t>
    </mdx>
    <mdx n="0" f="v">
      <t c="4" si="29">
        <n x="204"/>
        <n x="17"/>
        <n x="95"/>
        <n x="241" s="1"/>
      </t>
    </mdx>
    <mdx n="0" f="v">
      <t c="5" si="29">
        <n x="204"/>
        <n x="17"/>
        <n x="5"/>
        <n x="7"/>
        <n x="241" s="1"/>
      </t>
    </mdx>
    <mdx n="0" f="v">
      <t c="4" si="33">
        <n x="204"/>
        <n x="32"/>
        <n x="191"/>
        <n x="241" s="1"/>
      </t>
    </mdx>
    <mdx n="0" f="v">
      <t c="4" si="29">
        <n x="240"/>
        <n x="31"/>
        <n x="194"/>
        <n x="241" s="1"/>
      </t>
    </mdx>
    <mdx n="0" f="v">
      <t c="5" si="33">
        <n x="204"/>
        <n x="30"/>
        <n x="27"/>
        <n x="34"/>
        <n x="241" s="1"/>
      </t>
    </mdx>
    <mdx n="0" f="v">
      <t c="4" si="33">
        <n x="240"/>
        <n x="30"/>
        <n x="108"/>
        <n x="241" s="1"/>
      </t>
    </mdx>
    <mdx n="0" f="v">
      <t c="4" si="33">
        <n x="204"/>
        <n x="32"/>
        <n x="190"/>
        <n x="241" s="1"/>
      </t>
    </mdx>
    <mdx n="0" f="v">
      <t c="4" si="29">
        <n x="204"/>
        <n x="50"/>
        <n x="17"/>
        <n x="241" s="1"/>
      </t>
    </mdx>
    <mdx n="0" f="v">
      <t c="4" si="29">
        <n x="240"/>
        <n x="17"/>
        <n x="179"/>
        <n x="241" s="1"/>
      </t>
    </mdx>
    <mdx n="0" f="v">
      <t c="4" si="29">
        <n x="240"/>
        <n x="31"/>
        <n x="124"/>
        <n x="241" s="1"/>
      </t>
    </mdx>
    <mdx n="0" f="v">
      <t c="4" si="33">
        <n x="240"/>
        <n x="30"/>
        <n x="116"/>
        <n x="241" s="1"/>
      </t>
    </mdx>
    <mdx n="0" f="v">
      <t c="4" si="33">
        <n x="204"/>
        <n x="32"/>
        <n x="187"/>
        <n x="241" s="1"/>
      </t>
    </mdx>
    <mdx n="0" f="v">
      <t c="4" si="33">
        <n x="204"/>
        <n x="30"/>
        <n x="127"/>
        <n x="241" s="1"/>
      </t>
    </mdx>
    <mdx n="0" f="v">
      <t c="4" si="29">
        <n x="240"/>
        <n x="17"/>
        <n x="50"/>
        <n x="241" s="1"/>
      </t>
    </mdx>
    <mdx n="0" f="v">
      <t c="4" si="33">
        <n x="204"/>
        <n x="32"/>
        <n x="146"/>
        <n x="241" s="1"/>
      </t>
    </mdx>
    <mdx n="0" f="v">
      <t c="5" si="33">
        <n x="204"/>
        <n x="30"/>
        <n x="3"/>
        <n x="35"/>
        <n x="241" s="1"/>
      </t>
    </mdx>
    <mdx n="0" f="v">
      <t c="4" si="33">
        <n x="240"/>
        <n x="30"/>
        <n x="195"/>
        <n x="241" s="1"/>
      </t>
    </mdx>
    <mdx n="0" f="v">
      <t c="4" si="33">
        <n x="240"/>
        <n x="32"/>
        <n x="180"/>
        <n x="241" s="1"/>
      </t>
    </mdx>
    <mdx n="0" f="v">
      <t c="4" si="33">
        <n x="240"/>
        <n x="30"/>
        <n x="162"/>
        <n x="241" s="1"/>
      </t>
    </mdx>
    <mdx n="0" f="v">
      <t c="4" si="29">
        <n x="240"/>
        <n x="17"/>
        <n x="185"/>
        <n x="241" s="1"/>
      </t>
    </mdx>
    <mdx n="0" f="v">
      <t c="4" si="33">
        <n x="240"/>
        <n x="30"/>
        <n x="187"/>
        <n x="241" s="1"/>
      </t>
    </mdx>
    <mdx n="0" f="v">
      <t c="4" si="29">
        <n x="204"/>
        <n x="31"/>
        <n x="89"/>
        <n x="241" s="1"/>
      </t>
    </mdx>
    <mdx n="0" f="v">
      <t c="4" si="29">
        <n x="204"/>
        <n x="31"/>
        <n x="118"/>
        <n x="241" s="1"/>
      </t>
    </mdx>
    <mdx n="0" f="v">
      <t c="5" si="29">
        <n x="204"/>
        <n x="17"/>
        <n x="11"/>
        <n x="7"/>
        <n x="241" s="1"/>
      </t>
    </mdx>
    <mdx n="0" f="v">
      <t c="5" si="33">
        <n x="204"/>
        <n x="30"/>
        <n x="22"/>
        <n x="34"/>
        <n x="241" s="1"/>
      </t>
    </mdx>
    <mdx n="0" f="v">
      <t c="4" si="29">
        <n x="240"/>
        <n x="17"/>
        <n x="113"/>
        <n x="241" s="1"/>
      </t>
    </mdx>
    <mdx n="0" f="v">
      <t c="4" si="33">
        <n x="240"/>
        <n x="30"/>
        <n x="170"/>
        <n x="241" s="1"/>
      </t>
    </mdx>
    <mdx n="0" f="v">
      <t c="5" si="29">
        <n x="204"/>
        <n x="17"/>
        <n x="22"/>
        <n x="23"/>
        <n x="241" s="1"/>
      </t>
    </mdx>
    <mdx n="0" f="v">
      <t c="4" si="29">
        <n x="204"/>
        <n x="31"/>
        <n x="170"/>
        <n x="241" s="1"/>
      </t>
    </mdx>
    <mdx n="0" f="v">
      <t c="4" si="33">
        <n x="240"/>
        <n x="30"/>
        <n x="180"/>
        <n x="241" s="1"/>
      </t>
    </mdx>
    <mdx n="0" f="v">
      <t c="4" si="33">
        <n x="240"/>
        <n x="30"/>
        <n x="40"/>
        <n x="241" s="1"/>
      </t>
    </mdx>
    <mdx n="0" f="v">
      <t c="5" si="33">
        <n x="204"/>
        <n x="30"/>
        <n x="25"/>
        <n x="34"/>
        <n x="241" s="1"/>
      </t>
    </mdx>
    <mdx n="0" f="v">
      <t c="4" si="29">
        <n x="240"/>
        <n x="31"/>
        <n x="167"/>
        <n x="241" s="1"/>
      </t>
    </mdx>
    <mdx n="0" f="v">
      <t c="4" si="33">
        <n x="240"/>
        <n x="32"/>
        <n x="49"/>
        <n x="241" s="1"/>
      </t>
    </mdx>
    <mdx n="0" f="v">
      <t c="4" si="33">
        <n x="240"/>
        <n x="30"/>
        <n x="38"/>
        <n x="241" s="1"/>
      </t>
    </mdx>
    <mdx n="0" f="v">
      <t c="4" si="29">
        <n x="204"/>
        <n x="31"/>
        <n x="133"/>
        <n x="241" s="1"/>
      </t>
    </mdx>
    <mdx n="0" f="v">
      <t c="4" si="33">
        <n x="204"/>
        <n x="30"/>
        <n x="142"/>
        <n x="241" s="1"/>
      </t>
    </mdx>
    <mdx n="0" f="v">
      <t c="4" si="29">
        <n x="240"/>
        <n x="31"/>
        <n x="149"/>
        <n x="241" s="1"/>
      </t>
    </mdx>
    <mdx n="0" f="v">
      <t c="4" si="33">
        <n x="204"/>
        <n x="30"/>
        <n x="178"/>
        <n x="241" s="1"/>
      </t>
    </mdx>
    <mdx n="0" f="v">
      <t c="4" si="29">
        <n x="204"/>
        <n x="31"/>
        <n x="91"/>
        <n x="241" s="1"/>
      </t>
    </mdx>
    <mdx n="0" f="v">
      <t c="4" si="33">
        <n x="204"/>
        <n x="30"/>
        <n x="132"/>
        <n x="241" s="1"/>
      </t>
    </mdx>
    <mdx n="0" f="v">
      <t c="4" si="29">
        <n x="204"/>
        <n x="31"/>
        <n x="42"/>
        <n x="241" s="1"/>
      </t>
    </mdx>
    <mdx n="0" f="v">
      <t c="4" si="33">
        <n x="240"/>
        <n x="32"/>
        <n x="113"/>
        <n x="241" s="1"/>
      </t>
    </mdx>
    <mdx n="0" f="v">
      <t c="4" si="29">
        <n x="240"/>
        <n x="31"/>
        <n x="191"/>
        <n x="241" s="1"/>
      </t>
    </mdx>
    <mdx n="0" f="v">
      <t c="4" si="33">
        <n x="204"/>
        <n x="32"/>
        <n x="147"/>
        <n x="241" s="1"/>
      </t>
    </mdx>
    <mdx n="0" f="v">
      <t c="4" si="33">
        <n x="240"/>
        <n x="32"/>
        <n x="148"/>
        <n x="241" s="1"/>
      </t>
    </mdx>
    <mdx n="0" f="v">
      <t c="4" si="33">
        <n x="204"/>
        <n x="32"/>
        <n x="103"/>
        <n x="241" s="1"/>
      </t>
    </mdx>
    <mdx n="0" f="v">
      <t c="4" si="29">
        <n x="240"/>
        <n x="31"/>
        <n x="198"/>
        <n x="241" s="1"/>
      </t>
    </mdx>
    <mdx n="0" f="v">
      <t c="4" si="33">
        <n x="204"/>
        <n x="30"/>
        <n x="116"/>
        <n x="241" s="1"/>
      </t>
    </mdx>
    <mdx n="0" f="v">
      <t c="4" si="29">
        <n x="240"/>
        <n x="17"/>
        <n x="131"/>
        <n x="241" s="1"/>
      </t>
    </mdx>
    <mdx n="0" f="v">
      <t c="4" si="33">
        <n x="240"/>
        <n x="32"/>
        <n x="163"/>
        <n x="241" s="1"/>
      </t>
    </mdx>
    <mdx n="0" f="v">
      <t c="4" si="29">
        <n x="204"/>
        <n x="31"/>
        <n x="200"/>
        <n x="241" s="1"/>
      </t>
    </mdx>
    <mdx n="0" f="v">
      <t c="4" si="29">
        <n x="204"/>
        <n x="17"/>
        <n x="173"/>
        <n x="241" s="1"/>
      </t>
    </mdx>
    <mdx n="0" f="v">
      <t c="4" si="29">
        <n x="204"/>
        <n x="31"/>
        <n x="162"/>
        <n x="241" s="1"/>
      </t>
    </mdx>
    <mdx n="0" f="v">
      <t c="4" si="33">
        <n x="204"/>
        <n x="32"/>
        <n x="105"/>
        <n x="241" s="1"/>
      </t>
    </mdx>
    <mdx n="0" f="v">
      <t c="4" si="33">
        <n x="204"/>
        <n x="32"/>
        <n x="132"/>
        <n x="241" s="1"/>
      </t>
    </mdx>
    <mdx n="0" f="v">
      <t c="4" si="33">
        <n x="240"/>
        <n x="30"/>
        <n x="146"/>
        <n x="241" s="1"/>
      </t>
    </mdx>
    <mdx n="0" f="v">
      <t c="4" si="29">
        <n x="204"/>
        <n x="17"/>
        <n x="177"/>
        <n x="241" s="1"/>
      </t>
    </mdx>
    <mdx n="0" f="v">
      <t c="4" si="29">
        <n x="240"/>
        <n x="17"/>
        <n x="190"/>
        <n x="241" s="1"/>
      </t>
    </mdx>
    <mdx n="0" f="v">
      <t c="4" si="29">
        <n x="240"/>
        <n x="31"/>
        <n x="133"/>
        <n x="241" s="1"/>
      </t>
    </mdx>
    <mdx n="0" f="v">
      <t c="4" si="29">
        <n x="204"/>
        <n x="17"/>
        <n x="199"/>
        <n x="241" s="1"/>
      </t>
    </mdx>
    <mdx n="0" f="v">
      <t c="4" si="33">
        <n x="240"/>
        <n x="30"/>
        <n x="185"/>
        <n x="241" s="1"/>
      </t>
    </mdx>
    <mdx n="0" f="v">
      <t c="4" si="29">
        <n x="204"/>
        <n x="17"/>
        <n x="138"/>
        <n x="241" s="1"/>
      </t>
    </mdx>
    <mdx n="0" f="v">
      <t c="4" si="33">
        <n x="240"/>
        <n x="30"/>
        <n x="112"/>
        <n x="241" s="1"/>
      </t>
    </mdx>
    <mdx n="0" f="v">
      <t c="4" si="33">
        <n x="240"/>
        <n x="30"/>
        <n x="93"/>
        <n x="241" s="1"/>
      </t>
    </mdx>
    <mdx n="0" f="v">
      <t c="4" si="33">
        <n x="240"/>
        <n x="30"/>
        <n x="136"/>
        <n x="241" s="1"/>
      </t>
    </mdx>
    <mdx n="0" f="v">
      <t c="4" si="33">
        <n x="204"/>
        <n x="32"/>
        <n x="86"/>
        <n x="241" s="1"/>
      </t>
    </mdx>
    <mdx n="0" f="v">
      <t c="4" si="33">
        <n x="204"/>
        <n x="32"/>
        <n x="94"/>
        <n x="241" s="1"/>
      </t>
    </mdx>
    <mdx n="0" f="v">
      <t c="4" si="33">
        <n x="240"/>
        <n x="30"/>
        <n x="86"/>
        <n x="241" s="1"/>
      </t>
    </mdx>
    <mdx n="0" f="v">
      <t c="4" si="29">
        <n x="240"/>
        <n x="31"/>
        <n x="140"/>
        <n x="241" s="1"/>
      </t>
    </mdx>
    <mdx n="0" f="v">
      <t c="4" si="33">
        <n x="240"/>
        <n x="32"/>
        <n x="110"/>
        <n x="241" s="1"/>
      </t>
    </mdx>
    <mdx n="0" f="v">
      <t c="4" si="29">
        <n x="204"/>
        <n x="17"/>
        <n x="159"/>
        <n x="241" s="1"/>
      </t>
    </mdx>
    <mdx n="0" f="v">
      <t c="4" si="33">
        <n x="240"/>
        <n x="32"/>
        <n x="45"/>
        <n x="241" s="1"/>
      </t>
    </mdx>
    <mdx n="0" f="v">
      <t c="4" si="33">
        <n x="204"/>
        <n x="37"/>
        <n x="32"/>
        <n x="241" s="1"/>
      </t>
    </mdx>
    <mdx n="0" f="v">
      <t c="4" si="29">
        <n x="204"/>
        <n x="51"/>
        <n x="17"/>
        <n x="241" s="1"/>
      </t>
    </mdx>
    <mdx n="0" f="v">
      <t c="4" si="33">
        <n x="204"/>
        <n x="52"/>
        <n x="30"/>
        <n x="241" s="1"/>
      </t>
    </mdx>
    <mdx n="0" f="v">
      <t c="4" si="33">
        <n x="204"/>
        <n x="53"/>
        <n x="30"/>
        <n x="241" s="1"/>
      </t>
    </mdx>
    <mdx n="0" f="v">
      <t c="4" si="33">
        <n x="204"/>
        <n x="51"/>
        <n x="32"/>
        <n x="241" s="1"/>
      </t>
    </mdx>
    <mdx n="0" f="v">
      <t c="4" si="29">
        <n x="240"/>
        <n x="17"/>
        <n x="128"/>
        <n x="241" s="1"/>
      </t>
    </mdx>
    <mdx n="0" f="v">
      <t c="4" si="29">
        <n x="240"/>
        <n x="31"/>
        <n x="109"/>
        <n x="241" s="1"/>
      </t>
    </mdx>
    <mdx n="0" f="v">
      <t c="4" si="33">
        <n x="204"/>
        <n x="37"/>
        <n x="30"/>
        <n x="241" s="1"/>
      </t>
    </mdx>
    <mdx n="0" f="v">
      <t c="4" si="29">
        <n x="240"/>
        <n x="31"/>
        <n x="145"/>
        <n x="241" s="1"/>
      </t>
    </mdx>
    <mdx n="0" f="v">
      <t c="5" si="29">
        <n x="204"/>
        <n x="17"/>
        <n x="20"/>
        <n x="23"/>
        <n x="241" s="1"/>
      </t>
    </mdx>
    <mdx n="0" f="v">
      <t c="4" si="33">
        <n x="240"/>
        <n x="32"/>
        <n x="139"/>
        <n x="241" s="1"/>
      </t>
    </mdx>
    <mdx n="0" f="v">
      <t c="4" si="33">
        <n x="204"/>
        <n x="32"/>
        <n x="175"/>
        <n x="241" s="1"/>
      </t>
    </mdx>
    <mdx n="0" f="v">
      <t c="4" si="29">
        <n x="204"/>
        <n x="17"/>
        <n x="182"/>
        <n x="241" s="1"/>
      </t>
    </mdx>
    <mdx n="0" f="v">
      <t c="4" si="33">
        <n x="240"/>
        <n x="30"/>
        <n x="197"/>
        <n x="241" s="1"/>
      </t>
    </mdx>
    <mdx n="0" f="v">
      <t c="4" si="33">
        <n x="240"/>
        <n x="32"/>
        <n x="168"/>
        <n x="241" s="1"/>
      </t>
    </mdx>
    <mdx n="0" f="v">
      <t c="4" si="33">
        <n x="240"/>
        <n x="30"/>
        <n x="50"/>
        <n x="241" s="1"/>
      </t>
    </mdx>
    <mdx n="0" f="v">
      <t c="5" si="33">
        <n x="204"/>
        <n x="30"/>
        <n x="15"/>
        <n x="34"/>
        <n x="241" s="1"/>
      </t>
    </mdx>
    <mdx n="0" f="v">
      <t c="5" si="33">
        <n x="204"/>
        <n x="30"/>
        <n x="8"/>
        <n x="34"/>
        <n x="241" s="1"/>
      </t>
    </mdx>
    <mdx n="0" f="v">
      <t c="4" si="29">
        <n x="204"/>
        <n x="17"/>
        <n x="104"/>
        <n x="241" s="1"/>
      </t>
    </mdx>
    <mdx n="0" f="v">
      <t c="4" si="29">
        <n x="240"/>
        <n x="31"/>
        <n x="142"/>
        <n x="241" s="1"/>
      </t>
    </mdx>
    <mdx n="0" f="v">
      <t c="4" si="29">
        <n x="204"/>
        <n x="36"/>
        <n x="17"/>
        <n x="241" s="1"/>
      </t>
    </mdx>
    <mdx n="0" f="v">
      <t c="5" si="29">
        <n x="204"/>
        <n x="17"/>
        <n x="22"/>
        <n x="28"/>
        <n x="241" s="1"/>
      </t>
    </mdx>
    <mdx n="0" f="v">
      <t c="4" si="33">
        <n x="240"/>
        <n x="32"/>
        <n x="143"/>
        <n x="241" s="1"/>
      </t>
    </mdx>
    <mdx n="0" f="v">
      <t c="4" si="29">
        <n x="204"/>
        <n x="31"/>
        <n x="155"/>
        <n x="241" s="1"/>
      </t>
    </mdx>
    <mdx n="0" f="v">
      <t c="4" si="29">
        <n x="240"/>
        <n x="17"/>
        <n x="52"/>
        <n x="241" s="1"/>
      </t>
    </mdx>
    <mdx n="0" f="v">
      <t c="4" si="29">
        <n x="240"/>
        <n x="17"/>
        <n x="188"/>
        <n x="241" s="1"/>
      </t>
    </mdx>
    <mdx n="0" f="v">
      <t c="4" si="29">
        <n x="204"/>
        <n x="31"/>
        <n x="90"/>
        <n x="241" s="1"/>
      </t>
    </mdx>
    <mdx n="0" f="v">
      <t c="4" si="33">
        <n x="240"/>
        <n x="32"/>
        <n x="164"/>
        <n x="241" s="1"/>
      </t>
    </mdx>
    <mdx n="0" f="v">
      <t c="4" si="29">
        <n x="204"/>
        <n x="31"/>
        <n x="125"/>
        <n x="241" s="1"/>
      </t>
    </mdx>
    <mdx n="0" f="v">
      <t c="4" si="33">
        <n x="240"/>
        <n x="32"/>
        <n x="40"/>
        <n x="241" s="1"/>
      </t>
    </mdx>
    <mdx n="0" f="v">
      <t c="5" si="33">
        <n x="204"/>
        <n x="30"/>
        <n x="26"/>
        <n x="35"/>
        <n x="241" s="1"/>
      </t>
    </mdx>
    <mdx n="0" f="v">
      <t c="4" si="33">
        <n x="240"/>
        <n x="32"/>
        <n x="99"/>
        <n x="241" s="1"/>
      </t>
    </mdx>
    <mdx n="0" f="v">
      <t c="4" si="29">
        <n x="204"/>
        <n x="39"/>
        <n x="17"/>
        <n x="241" s="1"/>
      </t>
    </mdx>
    <mdx n="0" f="v">
      <t c="4" si="29">
        <n x="240"/>
        <n x="17"/>
        <n x="101"/>
        <n x="241" s="1"/>
      </t>
    </mdx>
    <mdx n="0" f="v">
      <t c="4" si="33">
        <n x="204"/>
        <n x="30"/>
        <n x="120"/>
        <n x="241" s="1"/>
      </t>
    </mdx>
    <mdx n="0" f="v">
      <t c="4" si="29">
        <n x="204"/>
        <n x="17"/>
        <n x="155"/>
        <n x="241" s="1"/>
      </t>
    </mdx>
    <mdx n="0" f="v">
      <t c="4" si="29">
        <n x="204"/>
        <n x="31"/>
        <n x="144"/>
        <n x="241" s="1"/>
      </t>
    </mdx>
    <mdx n="0" f="v">
      <t c="4" si="33">
        <n x="204"/>
        <n x="30"/>
        <n x="106"/>
        <n x="241" s="1"/>
      </t>
    </mdx>
    <mdx n="0" f="v">
      <t c="4" si="33">
        <n x="240"/>
        <n x="30"/>
        <n x="122"/>
        <n x="241" s="1"/>
      </t>
    </mdx>
    <mdx n="0" f="v">
      <t c="4" si="29">
        <n x="240"/>
        <n x="17"/>
        <n x="40"/>
        <n x="241" s="1"/>
      </t>
    </mdx>
    <mdx n="0" f="v">
      <t c="5" si="29">
        <n x="204"/>
        <n x="17"/>
        <n x="6"/>
        <n x="28"/>
        <n x="241" s="1"/>
      </t>
    </mdx>
    <mdx n="0" f="v">
      <t c="4" si="29">
        <n x="204"/>
        <n x="17"/>
        <n x="198"/>
        <n x="241" s="1"/>
      </t>
    </mdx>
    <mdx n="0" f="v">
      <t c="4" si="29">
        <n x="240"/>
        <n x="31"/>
        <n x="108"/>
        <n x="241" s="1"/>
      </t>
    </mdx>
    <mdx n="0" f="v">
      <t c="4" si="29">
        <n x="240"/>
        <n x="31"/>
        <n x="165"/>
        <n x="241" s="1"/>
      </t>
    </mdx>
    <mdx n="0" f="v">
      <t c="4" si="29">
        <n x="240"/>
        <n x="17"/>
        <n x="136"/>
        <n x="241" s="1"/>
      </t>
    </mdx>
    <mdx n="0" f="v">
      <t c="5" si="29">
        <n x="204"/>
        <n x="17"/>
        <n x="18"/>
        <n x="28"/>
        <n x="241" s="1"/>
      </t>
    </mdx>
    <mdx n="0" f="v">
      <t c="5" si="29">
        <n x="204"/>
        <n x="17"/>
        <n x="27"/>
        <n x="23"/>
        <n x="241" s="1"/>
      </t>
    </mdx>
    <mdx n="0" f="v">
      <t c="4" si="29">
        <n x="204"/>
        <n x="17"/>
        <n x="167"/>
        <n x="241" s="1"/>
      </t>
    </mdx>
    <mdx n="0" f="v">
      <t c="4" si="29">
        <n x="240"/>
        <n x="31"/>
        <n x="101"/>
        <n x="241" s="1"/>
      </t>
    </mdx>
    <mdx n="0" f="v">
      <t c="4" si="29">
        <n x="204"/>
        <n x="31"/>
        <n x="184"/>
        <n x="241" s="1"/>
      </t>
    </mdx>
    <mdx n="0" f="v">
      <t c="4" si="33">
        <n x="204"/>
        <n x="30"/>
        <n x="104"/>
        <n x="241" s="1"/>
      </t>
    </mdx>
    <mdx n="0" f="v">
      <t c="4" si="29">
        <n x="240"/>
        <n x="31"/>
        <n x="87"/>
        <n x="241" s="1"/>
      </t>
    </mdx>
    <mdx n="0" f="v">
      <t c="4" si="33">
        <n x="204"/>
        <n x="30"/>
        <n x="90"/>
        <n x="241" s="1"/>
      </t>
    </mdx>
    <mdx n="0" f="v">
      <t c="4" si="29">
        <n x="204"/>
        <n x="31"/>
        <n x="176"/>
        <n x="241" s="1"/>
      </t>
    </mdx>
    <mdx n="0" f="v">
      <t c="4" si="33">
        <n x="204"/>
        <n x="32"/>
        <n x="121"/>
        <n x="241" s="1"/>
      </t>
    </mdx>
    <mdx n="0" f="v">
      <t c="4" si="33">
        <n x="240"/>
        <n x="30"/>
        <n x="182"/>
        <n x="241" s="1"/>
      </t>
    </mdx>
    <mdx n="0" f="v">
      <t c="4" si="33">
        <n x="240"/>
        <n x="30"/>
        <n x="157"/>
        <n x="241" s="1"/>
      </t>
    </mdx>
    <mdx n="0" f="v">
      <t c="4" si="29">
        <n x="204"/>
        <n x="17"/>
        <n x="116"/>
        <n x="241" s="1"/>
      </t>
    </mdx>
    <mdx n="0" f="v">
      <t c="4" si="33">
        <n x="240"/>
        <n x="32"/>
        <n x="142"/>
        <n x="241" s="1"/>
      </t>
    </mdx>
    <mdx n="0" f="v">
      <t c="4" si="33">
        <n x="204"/>
        <n x="30"/>
        <n x="173"/>
        <n x="241" s="1"/>
      </t>
    </mdx>
    <mdx n="0" f="v">
      <t c="4" si="29">
        <n x="204"/>
        <n x="31"/>
        <n x="105"/>
        <n x="241" s="1"/>
      </t>
    </mdx>
    <mdx n="0" f="v">
      <t c="4" si="29">
        <n x="240"/>
        <n x="17"/>
        <n x="164"/>
        <n x="241" s="1"/>
      </t>
    </mdx>
    <mdx n="0" f="v">
      <t c="4" si="33">
        <n x="240"/>
        <n x="30"/>
        <n x="190"/>
        <n x="241" s="1"/>
      </t>
    </mdx>
    <mdx n="0" f="v">
      <t c="4" si="29">
        <n x="240"/>
        <n x="31"/>
        <n x="89"/>
        <n x="241" s="1"/>
      </t>
    </mdx>
    <mdx n="0" f="v">
      <t c="4" si="33">
        <n x="240"/>
        <n x="30"/>
        <n x="199"/>
        <n x="241" s="1"/>
      </t>
    </mdx>
    <mdx n="0" f="v">
      <t c="4" si="29">
        <n x="240"/>
        <n x="17"/>
        <n x="178"/>
        <n x="241" s="1"/>
      </t>
    </mdx>
    <mdx n="0" f="v">
      <t c="4" si="33">
        <n x="240"/>
        <n x="30"/>
        <n x="178"/>
        <n x="241" s="1"/>
      </t>
    </mdx>
    <mdx n="0" f="v">
      <t c="4" si="29">
        <n x="240"/>
        <n x="17"/>
        <n x="96"/>
        <n x="241" s="1"/>
      </t>
    </mdx>
    <mdx n="0" f="v">
      <t c="4" si="33">
        <n x="240"/>
        <n x="32"/>
        <n x="98"/>
        <n x="241" s="1"/>
      </t>
    </mdx>
    <mdx n="0" f="v">
      <t c="5" si="33">
        <n x="204"/>
        <n x="30"/>
        <n x="11"/>
        <n x="43"/>
        <n x="241" s="1"/>
      </t>
    </mdx>
    <mdx n="0" f="v">
      <t c="4" si="33">
        <n x="204"/>
        <n x="35"/>
        <n x="32"/>
        <n x="241" s="1"/>
      </t>
    </mdx>
    <mdx n="0" f="v">
      <t c="4" si="33">
        <n x="204"/>
        <n x="30"/>
        <n x="89"/>
        <n x="241" s="1"/>
      </t>
    </mdx>
    <mdx n="0" f="v">
      <t c="5" si="29">
        <n x="204"/>
        <n x="17"/>
        <n x="19"/>
        <n x="23"/>
        <n x="241" s="1"/>
      </t>
    </mdx>
    <mdx n="0" f="v">
      <t c="4" si="29">
        <n x="204"/>
        <n x="31"/>
        <n x="87"/>
        <n x="241" s="1"/>
      </t>
    </mdx>
    <mdx n="0" f="v">
      <t c="4" si="29">
        <n x="240"/>
        <n x="31"/>
        <n x="98"/>
        <n x="241" s="1"/>
      </t>
    </mdx>
    <mdx n="0" f="v">
      <t c="4" si="33">
        <n x="204"/>
        <n x="32"/>
        <n x="107"/>
        <n x="241" s="1"/>
      </t>
    </mdx>
    <mdx n="0" f="v">
      <t c="4" si="29">
        <n x="204"/>
        <n x="17"/>
        <n x="176"/>
        <n x="241" s="1"/>
      </t>
    </mdx>
    <mdx n="0" f="v">
      <t c="4" si="33">
        <n x="240"/>
        <n x="32"/>
        <n x="111"/>
        <n x="241" s="1"/>
      </t>
    </mdx>
    <mdx n="0" f="v">
      <t c="4" si="29">
        <n x="240"/>
        <n x="31"/>
        <n x="96"/>
        <n x="241" s="1"/>
      </t>
    </mdx>
    <mdx n="0" f="v">
      <t c="4" si="29">
        <n x="240"/>
        <n x="17"/>
        <n x="90"/>
        <n x="241" s="1"/>
      </t>
    </mdx>
    <mdx n="0" f="v">
      <t c="5" si="33">
        <n x="204"/>
        <n x="30"/>
        <n x="1"/>
        <n x="43"/>
        <n x="241" s="1"/>
      </t>
    </mdx>
    <mdx n="0" f="v">
      <t c="4" si="29">
        <n x="204"/>
        <n x="17"/>
        <n x="109"/>
        <n x="241" s="1"/>
      </t>
    </mdx>
    <mdx n="0" f="v">
      <t c="5" si="33">
        <n x="204"/>
        <n x="30"/>
        <n x="19"/>
        <n x="43"/>
        <n x="241" s="1"/>
      </t>
    </mdx>
    <mdx n="0" f="v">
      <t c="4" si="33">
        <n x="240"/>
        <n x="32"/>
        <n x="165"/>
        <n x="241" s="1"/>
      </t>
    </mdx>
    <mdx n="0" f="v">
      <t c="4" si="33">
        <n x="204"/>
        <n x="30"/>
        <n x="84"/>
        <n x="241" s="1"/>
      </t>
    </mdx>
    <mdx n="0" f="v">
      <t c="4" si="29">
        <n x="204"/>
        <n x="31"/>
        <n x="96"/>
        <n x="241" s="1"/>
      </t>
    </mdx>
    <mdx n="0" f="v">
      <t c="4" si="33">
        <n x="204"/>
        <n x="30"/>
        <n x="118"/>
        <n x="241" s="1"/>
      </t>
    </mdx>
    <mdx n="0" f="v">
      <t c="4" si="33">
        <n x="240"/>
        <n x="32"/>
        <n x="185"/>
        <n x="241" s="1"/>
      </t>
    </mdx>
    <mdx n="0" f="v">
      <t c="4" si="33">
        <n x="240"/>
        <n x="32"/>
        <n x="159"/>
        <n x="241" s="1"/>
      </t>
    </mdx>
    <mdx n="0" f="v">
      <t c="4" si="33">
        <n x="204"/>
        <n x="30"/>
        <n x="149"/>
        <n x="241" s="1"/>
      </t>
    </mdx>
    <mdx n="0" f="v">
      <t c="4" si="29">
        <n x="240"/>
        <n x="17"/>
        <n x="116"/>
        <n x="241" s="1"/>
      </t>
    </mdx>
    <mdx n="0" f="v">
      <t c="4" si="33">
        <n x="240"/>
        <n x="32"/>
        <n x="162"/>
        <n x="241" s="1"/>
      </t>
    </mdx>
    <mdx n="0" f="v">
      <t c="4" si="33">
        <n x="204"/>
        <n x="30"/>
        <n x="164"/>
        <n x="241" s="1"/>
      </t>
    </mdx>
    <mdx n="0" f="v">
      <t c="4" si="33">
        <n x="204"/>
        <n x="32"/>
        <n x="89"/>
        <n x="241" s="1"/>
      </t>
    </mdx>
    <mdx n="0" f="v">
      <t c="4" si="29">
        <n x="204"/>
        <n x="17"/>
        <n x="185"/>
        <n x="241" s="1"/>
      </t>
    </mdx>
    <mdx n="0" f="v">
      <t c="4" si="33">
        <n x="204"/>
        <n x="30"/>
        <n x="176"/>
        <n x="241" s="1"/>
      </t>
    </mdx>
    <mdx n="0" f="v">
      <t c="4" si="33">
        <n x="204"/>
        <n x="30"/>
        <n x="174"/>
        <n x="241" s="1"/>
      </t>
    </mdx>
    <mdx n="0" f="v">
      <t c="4" si="29">
        <n x="204"/>
        <n x="17"/>
        <n x="136"/>
        <n x="241" s="1"/>
      </t>
    </mdx>
    <mdx n="0" f="v">
      <t c="4" si="33">
        <n x="240"/>
        <n x="30"/>
        <n x="100"/>
        <n x="241" s="1"/>
      </t>
    </mdx>
    <mdx n="0" f="v">
      <t c="4" si="33">
        <n x="240"/>
        <n x="32"/>
        <n x="94"/>
        <n x="241" s="1"/>
      </t>
    </mdx>
    <mdx n="0" f="v">
      <t c="4" si="33">
        <n x="204"/>
        <n x="32"/>
        <n x="140"/>
        <n x="241" s="1"/>
      </t>
    </mdx>
    <mdx n="0" f="v">
      <t c="4" si="33">
        <n x="240"/>
        <n x="30"/>
        <n x="159"/>
        <n x="241" s="1"/>
      </t>
    </mdx>
    <mdx n="0" f="v">
      <t c="4" si="33">
        <n x="240"/>
        <n x="30"/>
        <n x="184"/>
        <n x="241" s="1"/>
      </t>
    </mdx>
    <mdx n="0" f="v">
      <t c="4" si="33">
        <n x="240"/>
        <n x="32"/>
        <n x="138"/>
        <n x="241" s="1"/>
      </t>
    </mdx>
    <mdx n="0" f="v">
      <t c="5" si="29">
        <n x="204"/>
        <n x="17"/>
        <n x="19"/>
        <n x="7"/>
        <n x="241" s="1"/>
      </t>
    </mdx>
    <mdx n="0" f="v">
      <t c="4" si="33">
        <n x="240"/>
        <n x="30"/>
        <n x="103"/>
        <n x="241" s="1"/>
      </t>
    </mdx>
    <mdx n="0" f="v">
      <t c="5" si="29">
        <n x="204"/>
        <n x="17"/>
        <n x="8"/>
        <n x="7"/>
        <n x="241" s="1"/>
      </t>
    </mdx>
    <mdx n="0" f="v">
      <t c="4" si="33">
        <n x="204"/>
        <n x="32"/>
        <n x="150"/>
        <n x="241" s="1"/>
      </t>
    </mdx>
    <mdx n="0" f="v">
      <t c="5" si="29">
        <n x="204"/>
        <n x="17"/>
        <n x="24"/>
        <n x="23"/>
        <n x="241" s="1"/>
      </t>
    </mdx>
    <mdx n="0" f="v">
      <t c="5" si="33">
        <n x="204"/>
        <n x="30"/>
        <n x="18"/>
        <n x="34"/>
        <n x="241" s="1"/>
      </t>
    </mdx>
    <mdx n="0" f="v">
      <t c="4" si="29">
        <n x="204"/>
        <n x="17"/>
        <n x="146"/>
        <n x="241" s="1"/>
      </t>
    </mdx>
    <mdx n="0" f="v">
      <t c="4" si="33">
        <n x="240"/>
        <n x="30"/>
        <n x="191"/>
        <n x="241" s="1"/>
      </t>
    </mdx>
    <mdx n="0" f="v">
      <t c="4" si="33">
        <n x="240"/>
        <n x="30"/>
        <n x="140"/>
        <n x="241" s="1"/>
      </t>
    </mdx>
    <mdx n="0" f="v">
      <t c="4" si="29">
        <n x="240"/>
        <n x="17"/>
        <n x="157"/>
        <n x="241" s="1"/>
      </t>
    </mdx>
    <mdx n="0" f="v">
      <t c="4" si="29">
        <n x="240"/>
        <n x="31"/>
        <n x="105"/>
        <n x="241" s="1"/>
      </t>
    </mdx>
    <mdx n="0" f="v">
      <t c="4" si="33">
        <n x="204"/>
        <n x="30"/>
        <n x="199"/>
        <n x="241" s="1"/>
      </t>
    </mdx>
    <mdx n="0" f="v">
      <t c="4" si="29">
        <n x="240"/>
        <n x="17"/>
        <n x="161"/>
        <n x="241" s="1"/>
      </t>
    </mdx>
    <mdx n="0" f="v">
      <t c="4" si="29">
        <n x="204"/>
        <n x="17"/>
        <n x="172"/>
        <n x="241" s="1"/>
      </t>
    </mdx>
    <mdx n="0" f="v">
      <t c="4" si="33">
        <n x="240"/>
        <n x="32"/>
        <n x="195"/>
        <n x="241" s="1"/>
      </t>
    </mdx>
    <mdx n="0" f="v">
      <t c="4" si="29">
        <n x="240"/>
        <n x="31"/>
        <n x="110"/>
        <n x="241" s="1"/>
      </t>
    </mdx>
    <mdx n="0" f="v">
      <t c="4" si="29">
        <n x="204"/>
        <n x="42"/>
        <n x="17"/>
        <n x="241" s="1"/>
      </t>
    </mdx>
    <mdx n="0" f="v">
      <t c="4" si="29">
        <n x="204"/>
        <n x="17"/>
        <n x="129"/>
        <n x="241" s="1"/>
      </t>
    </mdx>
    <mdx n="0" f="v">
      <t c="5" si="29">
        <n x="204"/>
        <n x="17"/>
        <n x="19"/>
        <n x="28"/>
        <n x="241" s="1"/>
      </t>
    </mdx>
    <mdx n="0" f="v">
      <t c="5" si="29">
        <n x="204"/>
        <n x="17"/>
        <n x="25"/>
        <n x="28"/>
        <n x="241" s="1"/>
      </t>
    </mdx>
    <mdx n="0" f="v">
      <t c="4" si="33">
        <n x="240"/>
        <n x="30"/>
        <n x="124"/>
        <n x="241" s="1"/>
      </t>
    </mdx>
    <mdx n="0" f="v">
      <t c="4" si="29">
        <n x="240"/>
        <n x="31"/>
        <n x="116"/>
        <n x="241" s="1"/>
      </t>
    </mdx>
    <mdx n="0" f="v">
      <t c="4" si="29">
        <n x="204"/>
        <n x="17"/>
        <n x="45"/>
        <n x="241" s="1"/>
      </t>
    </mdx>
    <mdx n="0" f="v">
      <t c="4" si="29">
        <n x="204"/>
        <n x="17"/>
        <n x="94"/>
        <n x="241" s="1"/>
      </t>
    </mdx>
    <mdx n="0" f="v">
      <t c="4" si="33">
        <n x="240"/>
        <n x="32"/>
        <n x="197"/>
        <n x="241" s="1"/>
      </t>
    </mdx>
    <mdx n="0" f="v">
      <t c="4" si="33">
        <n x="240"/>
        <n x="30"/>
        <n x="154"/>
        <n x="241" s="1"/>
      </t>
    </mdx>
    <mdx n="0" f="v">
      <t c="4" si="33">
        <n x="204"/>
        <n x="30"/>
        <n x="129"/>
        <n x="241" s="1"/>
      </t>
    </mdx>
    <mdx n="0" f="v">
      <t c="4" si="29">
        <n x="204"/>
        <n x="17"/>
        <n x="92"/>
        <n x="241" s="1"/>
      </t>
    </mdx>
    <mdx n="0" f="v">
      <t c="4" si="33">
        <n x="240"/>
        <n x="30"/>
        <n x="44"/>
        <n x="241" s="1"/>
      </t>
    </mdx>
    <mdx n="0" f="v">
      <t c="4" si="29">
        <n x="240"/>
        <n x="31"/>
        <n x="186"/>
        <n x="241" s="1"/>
      </t>
    </mdx>
    <mdx n="0" f="v">
      <t c="4" si="33">
        <n x="204"/>
        <n x="30"/>
        <n x="185"/>
        <n x="241" s="1"/>
      </t>
    </mdx>
    <mdx n="0" f="v">
      <t c="4" si="29">
        <n x="204"/>
        <n x="17"/>
        <n x="174"/>
        <n x="241" s="1"/>
      </t>
    </mdx>
    <mdx n="0" f="v">
      <t c="4" si="29">
        <n x="204"/>
        <n x="31"/>
        <n x="86"/>
        <n x="241" s="1"/>
      </t>
    </mdx>
    <mdx n="0" f="v">
      <t c="4" si="33">
        <n x="240"/>
        <n x="32"/>
        <n x="140"/>
        <n x="241" s="1"/>
      </t>
    </mdx>
    <mdx n="0" f="v">
      <t c="4" si="33">
        <n x="204"/>
        <n x="54"/>
        <n x="30"/>
        <n x="241" s="1"/>
      </t>
    </mdx>
    <mdx n="0" f="v">
      <t c="4" si="29">
        <n x="204"/>
        <n x="31"/>
        <n x="49"/>
        <n x="241" s="1"/>
      </t>
    </mdx>
    <mdx n="0" f="v">
      <t c="4" si="33">
        <n x="204"/>
        <n x="32"/>
        <n x="36"/>
        <n x="241" s="1"/>
      </t>
    </mdx>
    <mdx n="0" f="v">
      <t c="4" si="33">
        <n x="240"/>
        <n x="30"/>
        <n x="193"/>
        <n x="241" s="1"/>
      </t>
    </mdx>
    <mdx n="0" f="v">
      <t c="4" si="29">
        <n x="204"/>
        <n x="31"/>
        <n x="177"/>
        <n x="241" s="1"/>
      </t>
    </mdx>
    <mdx n="0" f="v">
      <t c="4" si="33">
        <n x="240"/>
        <n x="32"/>
        <n x="155"/>
        <n x="241" s="1"/>
      </t>
    </mdx>
    <mdx n="0" f="v">
      <t c="4" si="33">
        <n x="240"/>
        <n x="32"/>
        <n x="199"/>
        <n x="241" s="1"/>
      </t>
    </mdx>
    <mdx n="0" f="v">
      <t c="4" si="33">
        <n x="204"/>
        <n x="30"/>
        <n x="195"/>
        <n x="241" s="1"/>
      </t>
    </mdx>
    <mdx n="0" f="v">
      <t c="4" si="29">
        <n x="204"/>
        <n x="17"/>
        <n x="154"/>
        <n x="241" s="1"/>
      </t>
    </mdx>
    <mdx n="0" f="v">
      <t c="4" si="29">
        <n x="204"/>
        <n x="35"/>
        <n x="17"/>
        <n x="241" s="1"/>
      </t>
    </mdx>
    <mdx n="0" f="v">
      <t c="4" si="29">
        <n x="204"/>
        <n x="31"/>
        <n x="100"/>
        <n x="241" s="1"/>
      </t>
    </mdx>
    <mdx n="0" f="v">
      <t c="4" si="33">
        <n x="204"/>
        <n x="32"/>
        <n x="143"/>
        <n x="241" s="1"/>
      </t>
    </mdx>
    <mdx n="0" f="v">
      <t c="4" si="33">
        <n x="240"/>
        <n x="30"/>
        <n x="133"/>
        <n x="241" s="1"/>
      </t>
    </mdx>
    <mdx n="0" f="v">
      <t c="4" si="29">
        <n x="204"/>
        <n x="17"/>
        <n x="111"/>
        <n x="241" s="1"/>
      </t>
    </mdx>
    <mdx n="0" f="v">
      <t c="4" si="33">
        <n x="240"/>
        <n x="30"/>
        <n x="37"/>
        <n x="241" s="1"/>
      </t>
    </mdx>
    <mdx n="0" f="v">
      <t c="4" si="33">
        <n x="204"/>
        <n x="30"/>
        <n x="117"/>
        <n x="241" s="1"/>
      </t>
    </mdx>
    <mdx n="0" f="v">
      <t c="4" si="33">
        <n x="240"/>
        <n x="32"/>
        <n x="93"/>
        <n x="241" s="1"/>
      </t>
    </mdx>
    <mdx n="0" f="v">
      <t c="4" si="29">
        <n x="204"/>
        <n x="31"/>
        <n x="50"/>
        <n x="241" s="1"/>
      </t>
    </mdx>
    <mdx n="0" f="v">
      <t c="4" si="33">
        <n x="240"/>
        <n x="32"/>
        <n x="124"/>
        <n x="241" s="1"/>
      </t>
    </mdx>
    <mdx n="0" f="v">
      <t c="4" si="29">
        <n x="204"/>
        <n x="31"/>
        <n x="142"/>
        <n x="241" s="1"/>
      </t>
    </mdx>
    <mdx n="0" f="v">
      <t c="4" si="33">
        <n x="204"/>
        <n x="30"/>
        <n x="161"/>
        <n x="241" s="1"/>
      </t>
    </mdx>
    <mdx n="0" f="v">
      <t c="4" si="33">
        <n x="204"/>
        <n x="30"/>
        <n x="115"/>
        <n x="241" s="1"/>
      </t>
    </mdx>
    <mdx n="0" f="v">
      <t c="4" si="29">
        <n x="204"/>
        <n x="31"/>
        <n x="191"/>
        <n x="241" s="1"/>
      </t>
    </mdx>
    <mdx n="0" f="v">
      <t c="4" si="29">
        <n x="204"/>
        <n x="31"/>
        <n x="178"/>
        <n x="241" s="1"/>
      </t>
    </mdx>
    <mdx n="0" f="v">
      <t c="4" si="29">
        <n x="204"/>
        <n x="31"/>
        <n x="93"/>
        <n x="241" s="1"/>
      </t>
    </mdx>
    <mdx n="0" f="v">
      <t c="4" si="29">
        <n x="204"/>
        <n x="17"/>
        <n x="103"/>
        <n x="241" s="1"/>
      </t>
    </mdx>
    <mdx n="0" f="v">
      <t c="4" si="29">
        <n x="204"/>
        <n x="31"/>
        <n x="37"/>
        <n x="241" s="1"/>
      </t>
    </mdx>
    <mdx n="0" f="v">
      <t c="4" si="29">
        <n x="204"/>
        <n x="17"/>
        <n x="132"/>
        <n x="241" s="1"/>
      </t>
    </mdx>
    <mdx n="0" f="v">
      <t c="4" si="33">
        <n x="240"/>
        <n x="30"/>
        <n x="138"/>
        <n x="241" s="1"/>
      </t>
    </mdx>
    <mdx n="0" f="v">
      <t c="4" si="33">
        <n x="240"/>
        <n x="30"/>
        <n x="161"/>
        <n x="241" s="1"/>
      </t>
    </mdx>
    <mdx n="0" f="v">
      <t c="4" si="33">
        <n x="240"/>
        <n x="30"/>
        <n x="172"/>
        <n x="241" s="1"/>
      </t>
    </mdx>
    <mdx n="0" f="v">
      <t c="4" si="33">
        <n x="240"/>
        <n x="32"/>
        <n x="112"/>
        <n x="241" s="1"/>
      </t>
    </mdx>
    <mdx n="0" f="v">
      <t c="4" si="29">
        <n x="240"/>
        <n x="31"/>
        <n x="195"/>
        <n x="241" s="1"/>
      </t>
    </mdx>
    <mdx n="0" f="v">
      <t c="4" si="33">
        <n x="204"/>
        <n x="30"/>
        <n x="86"/>
        <n x="241" s="1"/>
      </t>
    </mdx>
    <mdx n="0" f="v">
      <t c="4" si="29">
        <n x="204"/>
        <n x="31"/>
        <n x="110"/>
        <n x="241" s="1"/>
      </t>
    </mdx>
    <mdx n="0" f="v">
      <t c="4" si="33">
        <n x="240"/>
        <n x="30"/>
        <n x="147"/>
        <n x="241" s="1"/>
      </t>
    </mdx>
    <mdx n="0" f="v">
      <t c="4" si="29">
        <n x="204"/>
        <n x="182"/>
        <n x="17"/>
        <n x="241" s="1"/>
      </t>
    </mdx>
    <mdx n="0" f="v">
      <t c="4" si="29">
        <n x="204"/>
        <n x="31"/>
        <n x="187"/>
        <n x="241" s="1"/>
      </t>
    </mdx>
    <mdx n="0" f="v">
      <t c="4" si="33">
        <n x="204"/>
        <n x="32"/>
        <n x="141"/>
        <n x="241" s="1"/>
      </t>
    </mdx>
    <mdx n="0" f="v">
      <t c="4" si="29">
        <n x="240"/>
        <n x="17"/>
        <n x="182"/>
        <n x="241" s="1"/>
      </t>
    </mdx>
    <mdx n="0" f="v">
      <t c="4" si="29">
        <n x="204"/>
        <n x="17"/>
        <n x="108"/>
        <n x="241" s="1"/>
      </t>
    </mdx>
    <mdx n="0" f="v">
      <t c="4" si="29">
        <n x="204"/>
        <n x="31"/>
        <n x="98"/>
        <n x="241" s="1"/>
      </t>
    </mdx>
    <mdx n="0" f="v">
      <t c="4" si="33">
        <n x="204"/>
        <n x="30"/>
        <n x="126"/>
        <n x="241" s="1"/>
      </t>
    </mdx>
    <mdx n="0" f="v">
      <t c="4" si="33">
        <n x="204"/>
        <n x="30"/>
        <n x="139"/>
        <n x="241" s="1"/>
      </t>
    </mdx>
    <mdx n="0" f="v">
      <t c="4" si="33">
        <n x="204"/>
        <n x="32"/>
        <n x="192"/>
        <n x="241" s="1"/>
      </t>
    </mdx>
    <mdx n="0" f="v">
      <t c="4" si="33">
        <n x="240"/>
        <n x="30"/>
        <n x="183"/>
        <n x="241" s="1"/>
      </t>
    </mdx>
    <mdx n="0" f="v">
      <t c="4" si="33">
        <n x="204"/>
        <n x="30"/>
        <n x="186"/>
        <n x="241" s="1"/>
      </t>
    </mdx>
    <mdx n="0" f="v">
      <t c="4" si="29">
        <n x="204"/>
        <n x="31"/>
        <n x="167"/>
        <n x="241" s="1"/>
      </t>
    </mdx>
    <mdx n="0" f="v">
      <t c="4" si="33">
        <n x="240"/>
        <n x="30"/>
        <n x="113"/>
        <n x="241" s="1"/>
      </t>
    </mdx>
    <mdx n="0" f="v">
      <t c="4" si="33">
        <n x="240"/>
        <n x="32"/>
        <n x="106"/>
        <n x="241" s="1"/>
      </t>
    </mdx>
    <mdx n="0" f="v">
      <t c="4" si="29">
        <n x="204"/>
        <n x="31"/>
        <n x="121"/>
        <n x="241" s="1"/>
      </t>
    </mdx>
    <mdx n="0" f="v">
      <t c="4" si="33">
        <n x="204"/>
        <n x="32"/>
        <n x="142"/>
        <n x="241" s="1"/>
      </t>
    </mdx>
    <mdx n="0" f="v">
      <t c="4" si="29">
        <n x="240"/>
        <n x="31"/>
        <n x="158"/>
        <n x="241" s="1"/>
      </t>
    </mdx>
    <mdx n="0" f="v">
      <t c="4" si="29">
        <n x="204"/>
        <n x="17"/>
        <n x="140"/>
        <n x="241" s="1"/>
      </t>
    </mdx>
    <mdx n="0" f="v">
      <t c="4" si="33">
        <n x="204"/>
        <n x="32"/>
        <n x="112"/>
        <n x="241" s="1"/>
      </t>
    </mdx>
    <mdx n="0" f="v">
      <t c="4" si="29">
        <n x="240"/>
        <n x="17"/>
        <n x="86"/>
        <n x="241" s="1"/>
      </t>
    </mdx>
    <mdx n="0" f="v">
      <t c="4" si="29">
        <n x="240"/>
        <n x="31"/>
        <n x="45"/>
        <n x="241" s="1"/>
      </t>
    </mdx>
    <mdx n="0" f="v">
      <t c="4" si="29">
        <n x="204"/>
        <n x="17"/>
        <n x="192"/>
        <n x="241" s="1"/>
      </t>
    </mdx>
    <mdx n="0" f="v">
      <t c="5" si="29">
        <n x="204"/>
        <n x="17"/>
        <n x="203"/>
        <n x="28"/>
        <n x="241" s="1"/>
      </t>
    </mdx>
    <mdx n="0" f="v">
      <t c="4" si="29">
        <n x="240"/>
        <n x="31"/>
        <n x="151"/>
        <n x="241" s="1"/>
      </t>
    </mdx>
    <mdx n="0" f="v">
      <t c="4" si="29">
        <n x="204"/>
        <n x="31"/>
        <n x="171"/>
        <n x="241" s="1"/>
      </t>
    </mdx>
    <mdx n="0" f="v">
      <t c="4" si="33">
        <n x="204"/>
        <n x="32"/>
        <n x="194"/>
        <n x="241" s="1"/>
      </t>
    </mdx>
    <mdx n="0" f="v">
      <t c="4" si="33">
        <n x="204"/>
        <n x="30"/>
        <n x="144"/>
        <n x="241" s="1"/>
      </t>
    </mdx>
    <mdx n="0" f="v">
      <t c="4" si="33">
        <n x="204"/>
        <n x="30"/>
        <n x="49"/>
        <n x="241" s="1"/>
      </t>
    </mdx>
    <mdx n="0" f="v">
      <t c="4" si="29">
        <n x="240"/>
        <n x="17"/>
        <n x="197"/>
        <n x="241" s="1"/>
      </t>
    </mdx>
    <mdx n="0" f="v">
      <t c="4" si="33">
        <n x="204"/>
        <n x="36"/>
        <n x="30"/>
        <n x="241" s="1"/>
      </t>
    </mdx>
    <mdx n="0" f="v">
      <t c="4" si="29">
        <n x="204"/>
        <n x="17"/>
        <n x="168"/>
        <n x="241" s="1"/>
      </t>
    </mdx>
    <mdx n="0" f="v">
      <t c="5" si="29">
        <n x="204"/>
        <n x="17"/>
        <n x="25"/>
        <n x="7"/>
        <n x="241" s="1"/>
      </t>
    </mdx>
    <mdx n="0" f="v">
      <t c="4" si="33">
        <n x="240"/>
        <n x="32"/>
        <n x="192"/>
        <n x="241" s="1"/>
      </t>
    </mdx>
    <mdx n="0" f="v">
      <t c="4" si="29">
        <n x="240"/>
        <n x="31"/>
        <n x="196"/>
        <n x="241" s="1"/>
      </t>
    </mdx>
    <mdx n="0" f="v">
      <t c="4" si="33">
        <n x="204"/>
        <n x="32"/>
        <n x="95"/>
        <n x="241" s="1"/>
      </t>
    </mdx>
    <mdx n="0" f="v">
      <t c="4" si="29">
        <n x="204"/>
        <n x="31"/>
        <n x="129"/>
        <n x="241" s="1"/>
      </t>
    </mdx>
    <mdx n="0" f="v">
      <t c="4" si="33">
        <n x="240"/>
        <n x="30"/>
        <n x="176"/>
        <n x="241" s="1"/>
      </t>
    </mdx>
    <mdx n="0" f="v">
      <t c="4" si="33">
        <n x="204"/>
        <n x="30"/>
        <n x="136"/>
        <n x="241" s="1"/>
      </t>
    </mdx>
    <mdx n="0" f="v">
      <t c="4" si="29">
        <n x="240"/>
        <n x="31"/>
        <n x="94"/>
        <n x="241" s="1"/>
      </t>
    </mdx>
    <mdx n="0" f="v">
      <t c="4" si="33">
        <n x="204"/>
        <n x="30"/>
        <n x="159"/>
        <n x="241" s="1"/>
      </t>
    </mdx>
    <mdx n="0" f="v">
      <t c="4" si="29">
        <n x="240"/>
        <n x="17"/>
        <n x="176"/>
        <n x="241" s="1"/>
      </t>
    </mdx>
    <mdx n="0" f="v">
      <t c="4" si="33">
        <n x="240"/>
        <n x="30"/>
        <n x="144"/>
        <n x="241" s="1"/>
      </t>
    </mdx>
    <mdx n="0" f="v">
      <t c="4" si="33">
        <n x="240"/>
        <n x="32"/>
        <n x="173"/>
        <n x="241" s="1"/>
      </t>
    </mdx>
    <mdx n="0" f="v">
      <t c="4" si="29">
        <n x="204"/>
        <n x="17"/>
        <n x="139"/>
        <n x="241" s="1"/>
      </t>
    </mdx>
    <mdx n="0" f="v">
      <t c="4" si="29">
        <n x="240"/>
        <n x="17"/>
        <n x="173"/>
        <n x="241" s="1"/>
      </t>
    </mdx>
    <mdx n="0" f="v">
      <t c="4" si="33">
        <n x="204"/>
        <n x="32"/>
        <n x="109"/>
        <n x="241" s="1"/>
      </t>
    </mdx>
    <mdx n="0" f="v">
      <t c="4" si="29">
        <n x="204"/>
        <n x="31"/>
        <n x="174"/>
        <n x="241" s="1"/>
      </t>
    </mdx>
    <mdx n="0" f="v">
      <t c="4" si="33">
        <n x="204"/>
        <n x="32"/>
        <n x="163"/>
        <n x="241" s="1"/>
      </t>
    </mdx>
    <mdx n="0" f="v">
      <t c="4" si="29">
        <n x="204"/>
        <n x="17"/>
        <n x="195"/>
        <n x="241" s="1"/>
      </t>
    </mdx>
    <mdx n="0" f="v">
      <t c="4" si="33">
        <n x="204"/>
        <n x="32"/>
        <n x="134"/>
        <n x="241" s="1"/>
      </t>
    </mdx>
    <mdx n="0" f="v">
      <t c="4" si="29">
        <n x="240"/>
        <n x="17"/>
        <n x="109"/>
        <n x="241" s="1"/>
      </t>
    </mdx>
    <mdx n="0" f="v">
      <t c="4" si="29">
        <n x="240"/>
        <n x="17"/>
        <n x="158"/>
        <n x="241" s="1"/>
      </t>
    </mdx>
    <mdx n="0" f="v">
      <t c="4" si="29">
        <n x="240"/>
        <n x="31"/>
        <n x="137"/>
        <n x="241" s="1"/>
      </t>
    </mdx>
    <mdx n="0" f="v">
      <t c="4" si="29">
        <n x="204"/>
        <n x="31"/>
        <n x="45"/>
        <n x="241" s="1"/>
      </t>
    </mdx>
    <mdx n="0" f="v">
      <t c="4" si="29">
        <n x="240"/>
        <n x="17"/>
        <n x="145"/>
        <n x="241" s="1"/>
      </t>
    </mdx>
    <mdx n="0" f="v">
      <t c="4" si="33">
        <n x="204"/>
        <n x="32"/>
        <n x="115"/>
        <n x="241" s="1"/>
      </t>
    </mdx>
    <mdx n="0" f="v">
      <t c="4" si="29">
        <n x="204"/>
        <n x="31"/>
        <n x="38"/>
        <n x="241" s="1"/>
      </t>
    </mdx>
    <mdx n="0" f="v">
      <t c="4" si="29">
        <n x="204"/>
        <n x="31"/>
        <n x="181"/>
        <n x="241" s="1"/>
      </t>
    </mdx>
    <mdx n="0" f="v">
      <t c="4" si="29">
        <n x="240"/>
        <n x="31"/>
        <n x="146"/>
        <n x="241" s="1"/>
      </t>
    </mdx>
    <mdx n="0" f="v">
      <t c="4" si="29">
        <n x="240"/>
        <n x="31"/>
        <n x="159"/>
        <n x="241" s="1"/>
      </t>
    </mdx>
    <mdx n="0" f="v">
      <t c="4" si="33">
        <n x="204"/>
        <n x="30"/>
        <n x="100"/>
        <n x="241" s="1"/>
      </t>
    </mdx>
    <mdx n="0" f="v">
      <t c="4" si="33">
        <n x="204"/>
        <n x="30"/>
        <n x="123"/>
        <n x="241" s="1"/>
      </t>
    </mdx>
    <mdx n="0" f="v">
      <t c="4" si="33">
        <n x="240"/>
        <n x="32"/>
        <n x="105"/>
        <n x="241" s="1"/>
      </t>
    </mdx>
    <mdx n="0" f="v">
      <t c="4" si="33">
        <n x="204"/>
        <n x="32"/>
        <n x="166"/>
        <n x="241" s="1"/>
      </t>
    </mdx>
    <mdx n="0" f="v">
      <t c="4" si="33">
        <n x="240"/>
        <n x="32"/>
        <n x="117"/>
        <n x="241" s="1"/>
      </t>
    </mdx>
    <mdx n="0" f="v">
      <t c="4" si="29">
        <n x="204"/>
        <n x="31"/>
        <n x="111"/>
        <n x="241" s="1"/>
      </t>
    </mdx>
    <mdx n="0" f="v">
      <t c="4" si="33">
        <n x="204"/>
        <n x="30"/>
        <n x="182"/>
        <n x="241" s="1"/>
      </t>
    </mdx>
    <mdx n="0" f="v">
      <t c="4" si="33">
        <n x="204"/>
        <n x="32"/>
        <n x="37"/>
        <n x="241" s="1"/>
      </t>
    </mdx>
    <mdx n="0" f="v">
      <t c="4" si="33">
        <n x="240"/>
        <n x="32"/>
        <n x="132"/>
        <n x="241" s="1"/>
      </t>
    </mdx>
    <mdx n="0" f="v">
      <t c="4" si="33">
        <n x="204"/>
        <n x="32"/>
        <n x="176"/>
        <n x="241" s="1"/>
      </t>
    </mdx>
    <mdx n="0" f="v">
      <t c="4" si="33">
        <n x="204"/>
        <n x="32"/>
        <n x="178"/>
        <n x="241" s="1"/>
      </t>
    </mdx>
    <mdx n="0" f="v">
      <t c="4" si="33">
        <n x="204"/>
        <n x="30"/>
        <n x="147"/>
        <n x="241" s="1"/>
      </t>
    </mdx>
    <mdx n="0" f="v">
      <t c="4" si="33">
        <n x="204"/>
        <n x="32"/>
        <n x="52"/>
        <n x="241" s="1"/>
      </t>
    </mdx>
    <mdx n="0" f="v">
      <t c="4" si="33">
        <n x="204"/>
        <n x="30"/>
        <n x="143"/>
        <n x="241" s="1"/>
      </t>
    </mdx>
    <mdx n="0" f="v">
      <t c="4" si="29">
        <n x="240"/>
        <n x="31"/>
        <n x="129"/>
        <n x="241" s="1"/>
      </t>
    </mdx>
    <mdx n="0" f="v">
      <t c="4" si="29">
        <n x="204"/>
        <n x="31"/>
        <n x="145"/>
        <n x="241" s="1"/>
      </t>
    </mdx>
    <mdx n="0" f="v">
      <t c="4" si="29">
        <n x="240"/>
        <n x="17"/>
        <n x="175"/>
        <n x="241" s="1"/>
      </t>
    </mdx>
    <mdx n="0" f="v">
      <t c="4" si="29">
        <n x="240"/>
        <n x="31"/>
        <n x="90"/>
        <n x="241" s="1"/>
      </t>
    </mdx>
    <mdx n="0" f="v">
      <t c="4" si="29">
        <n x="204"/>
        <n x="31"/>
        <n x="84"/>
        <n x="241" s="1"/>
      </t>
    </mdx>
    <mdx n="0" f="v">
      <t c="4" si="29">
        <n x="204"/>
        <n x="17"/>
        <n x="87"/>
        <n x="241" s="1"/>
      </t>
    </mdx>
    <mdx n="0" f="v">
      <t c="4" si="33">
        <n x="204"/>
        <n x="30"/>
        <n x="45"/>
        <n x="241" s="1"/>
      </t>
    </mdx>
    <mdx n="0" f="v">
      <t c="4" si="33">
        <n x="240"/>
        <n x="32"/>
        <n x="119"/>
        <n x="241" s="1"/>
      </t>
    </mdx>
    <mdx n="0" f="v">
      <t c="4" si="29">
        <n x="204"/>
        <n x="31"/>
        <n x="119"/>
        <n x="241" s="1"/>
      </t>
    </mdx>
    <mdx n="0" f="v">
      <t c="4" si="29">
        <n x="240"/>
        <n x="31"/>
        <n x="119"/>
        <n x="241" s="1"/>
      </t>
    </mdx>
    <mdx n="0" f="v">
      <t c="4" si="33">
        <n x="204"/>
        <n x="32"/>
        <n x="119"/>
        <n x="241" s="1"/>
      </t>
    </mdx>
    <mdx n="0" f="v">
      <t c="4" si="29">
        <n x="240"/>
        <n x="17"/>
        <n x="119"/>
        <n x="241" s="1"/>
      </t>
    </mdx>
    <mdx n="0" f="v">
      <t c="4" si="33">
        <n x="240"/>
        <n x="30"/>
        <n x="119"/>
        <n x="241" s="1"/>
      </t>
    </mdx>
    <mdx n="0" f="v">
      <t c="4" si="33">
        <n x="240"/>
        <n x="30"/>
        <n x="163"/>
        <n x="241" s="1"/>
      </t>
    </mdx>
    <mdx n="0" f="v">
      <t c="4" si="33">
        <n x="204"/>
        <n x="30"/>
        <n x="163"/>
        <n x="241" s="1"/>
      </t>
    </mdx>
    <mdx n="0" f="v">
      <t c="4" si="29">
        <n x="204"/>
        <n x="17"/>
        <n x="163"/>
        <n x="241" s="1"/>
      </t>
    </mdx>
    <mdx n="0" f="v">
      <t c="4" si="33">
        <n x="240"/>
        <n x="30"/>
        <n x="194"/>
        <n x="241" s="1"/>
      </t>
    </mdx>
    <mdx n="0" f="v">
      <t c="4" si="29">
        <n x="204"/>
        <n x="17"/>
        <n x="194"/>
        <n x="241" s="1"/>
      </t>
    </mdx>
    <mdx n="0" f="v">
      <t c="4" si="29">
        <n x="240"/>
        <n x="17"/>
        <n x="137"/>
        <n x="241" s="1"/>
      </t>
    </mdx>
    <mdx n="0" f="v">
      <t c="4" si="33">
        <n x="240"/>
        <n x="30"/>
        <n x="137"/>
        <n x="241" s="1"/>
      </t>
    </mdx>
    <mdx n="0" f="v">
      <t c="4" si="29">
        <n x="240"/>
        <n x="31"/>
        <n x="100"/>
        <n x="241" s="1"/>
      </t>
    </mdx>
    <mdx n="0" f="v">
      <t c="4" si="33">
        <n x="240"/>
        <n x="32"/>
        <n x="183"/>
        <n x="241" s="1"/>
      </t>
    </mdx>
    <mdx n="0" f="v">
      <t c="4" si="33">
        <n x="204"/>
        <n x="32"/>
        <n x="199"/>
        <n x="241" s="1"/>
      </t>
    </mdx>
    <mdx n="0" f="v">
      <t c="4" si="29">
        <n x="240"/>
        <n x="31"/>
        <n x="99"/>
        <n x="241" s="1"/>
      </t>
    </mdx>
    <mdx n="0" f="v">
      <t c="4" si="29">
        <n x="204"/>
        <n x="17"/>
        <n x="120"/>
        <n x="241" s="1"/>
      </t>
    </mdx>
    <mdx n="0" f="v">
      <t c="4" si="29">
        <n x="204"/>
        <n x="17"/>
        <n x="153"/>
        <n x="241" s="1"/>
      </t>
    </mdx>
    <mdx n="0" f="v">
      <t c="4" si="33">
        <n x="240"/>
        <n x="30"/>
        <n x="153"/>
        <n x="241" s="1"/>
      </t>
    </mdx>
    <mdx n="0" f="v">
      <t c="4" si="33">
        <n x="204"/>
        <n x="30"/>
        <n x="96"/>
        <n x="241" s="1"/>
      </t>
    </mdx>
    <mdx n="0" f="v">
      <t c="4" si="33">
        <n x="240"/>
        <n x="30"/>
        <n x="96"/>
        <n x="241" s="1"/>
      </t>
    </mdx>
    <mdx n="0" f="v">
      <t c="4" si="29">
        <n x="204"/>
        <n x="17"/>
        <n x="96"/>
        <n x="241" s="1"/>
      </t>
    </mdx>
    <mdx n="0" f="v">
      <t c="4" si="29">
        <n x="204"/>
        <n x="31"/>
        <n x="173"/>
        <n x="241" s="1"/>
      </t>
    </mdx>
    <mdx n="0" f="v">
      <t c="4" si="33">
        <n x="204"/>
        <n x="32"/>
        <n x="173"/>
        <n x="241" s="1"/>
      </t>
    </mdx>
    <mdx n="0" f="v">
      <t c="4" si="33">
        <n x="240"/>
        <n x="30"/>
        <n x="151"/>
        <n x="241" s="1"/>
      </t>
    </mdx>
    <mdx n="0" f="v">
      <t c="4" si="29">
        <n x="240"/>
        <n x="17"/>
        <n x="151"/>
        <n x="241" s="1"/>
      </t>
    </mdx>
    <mdx n="0" f="v">
      <t c="4" si="29">
        <n x="204"/>
        <n x="31"/>
        <n x="156"/>
        <n x="241" s="1"/>
      </t>
    </mdx>
    <mdx n="0" f="v">
      <t c="4" si="33">
        <n x="240"/>
        <n x="32"/>
        <n x="156"/>
        <n x="241" s="1"/>
      </t>
    </mdx>
    <mdx n="0" f="v">
      <t c="4" si="33">
        <n x="204"/>
        <n x="32"/>
        <n x="153"/>
        <n x="241" s="1"/>
      </t>
    </mdx>
    <mdx n="0" f="v">
      <t c="4" si="29">
        <n x="204"/>
        <n x="31"/>
        <n x="135"/>
        <n x="241" s="1"/>
      </t>
    </mdx>
    <mdx n="0" f="v">
      <t c="4" si="29">
        <n x="240"/>
        <n x="31"/>
        <n x="135"/>
        <n x="241" s="1"/>
      </t>
    </mdx>
    <mdx n="0" f="v">
      <t c="4" si="33">
        <n x="204"/>
        <n x="30"/>
        <n x="189"/>
        <n x="241" s="1"/>
      </t>
    </mdx>
    <mdx n="0" f="v">
      <t c="4" si="29">
        <n x="240"/>
        <n x="17"/>
        <n x="189"/>
        <n x="241" s="1"/>
      </t>
    </mdx>
    <mdx n="0" f="v">
      <t c="4" si="29">
        <n x="240"/>
        <n x="17"/>
        <n x="193"/>
        <n x="241" s="1"/>
      </t>
    </mdx>
    <mdx n="0" f="v">
      <t c="4" si="33">
        <n x="204"/>
        <n x="30"/>
        <n x="193"/>
        <n x="241" s="1"/>
      </t>
    </mdx>
    <mdx n="0" f="v">
      <t c="4" si="29">
        <n x="204"/>
        <n x="17"/>
        <n x="193"/>
        <n x="241" s="1"/>
      </t>
    </mdx>
    <mdx n="0" f="v">
      <t c="4" si="33">
        <n x="240"/>
        <n x="32"/>
        <n x="201"/>
        <n x="241" s="1"/>
      </t>
    </mdx>
    <mdx n="0" f="v">
      <t c="4" si="29">
        <n x="204"/>
        <n x="31"/>
        <n x="201"/>
        <n x="241" s="1"/>
      </t>
    </mdx>
    <mdx n="0" f="v">
      <t c="4" si="29">
        <n x="204"/>
        <n x="17"/>
        <n x="201"/>
        <n x="241" s="1"/>
      </t>
    </mdx>
    <mdx n="0" f="v">
      <t c="4" si="33">
        <n x="204"/>
        <n x="30"/>
        <n x="201"/>
        <n x="241" s="1"/>
      </t>
    </mdx>
    <mdx n="0" f="v">
      <t c="4" si="33">
        <n x="240"/>
        <n x="30"/>
        <n x="201"/>
        <n x="241" s="1"/>
      </t>
    </mdx>
    <mdx n="0" f="v">
      <t c="4" si="33">
        <n x="240"/>
        <n x="32"/>
        <n x="122"/>
        <n x="241" s="1"/>
      </t>
    </mdx>
    <mdx n="0" f="v">
      <t c="4" si="29">
        <n x="204"/>
        <n x="31"/>
        <n x="122"/>
        <n x="241" s="1"/>
      </t>
    </mdx>
    <mdx n="0" f="v">
      <t c="4" si="29">
        <n x="240"/>
        <n x="31"/>
        <n x="122"/>
        <n x="241" s="1"/>
      </t>
    </mdx>
    <mdx n="0" f="v">
      <t c="4" si="33">
        <n x="204"/>
        <n x="32"/>
        <n x="159"/>
        <n x="241" s="1"/>
      </t>
    </mdx>
    <mdx n="0" f="v">
      <t c="4" si="29">
        <n x="204"/>
        <n x="31"/>
        <n x="159"/>
        <n x="241" s="1"/>
      </t>
    </mdx>
    <mdx n="0" f="v">
      <t c="4" si="29">
        <n x="240"/>
        <n x="31"/>
        <n x="185"/>
        <n x="241" s="1"/>
      </t>
    </mdx>
    <mdx n="0" f="v">
      <t c="4" si="29">
        <n x="204"/>
        <n x="31"/>
        <n x="185"/>
        <n x="241" s="1"/>
      </t>
    </mdx>
    <mdx n="0" f="v">
      <t c="4" si="33">
        <n x="204"/>
        <n x="32"/>
        <n x="185"/>
        <n x="241" s="1"/>
      </t>
    </mdx>
    <mdx n="0" f="v">
      <t c="4" si="29">
        <n x="240"/>
        <n x="31"/>
        <n x="152"/>
        <n x="241" s="1"/>
      </t>
    </mdx>
    <mdx n="0" f="v">
      <t c="4" si="33">
        <n x="240"/>
        <n x="32"/>
        <n x="152"/>
        <n x="241" s="1"/>
      </t>
    </mdx>
    <mdx n="0" f="v">
      <t c="4" si="33">
        <n x="204"/>
        <n x="30"/>
        <n x="134"/>
        <n x="241" s="1"/>
      </t>
    </mdx>
    <mdx n="0" f="v">
      <t c="4" si="33">
        <n x="240"/>
        <n x="30"/>
        <n x="134"/>
        <n x="241" s="1"/>
      </t>
    </mdx>
    <mdx n="0" f="v">
      <t c="4" si="29">
        <n x="240"/>
        <n x="17"/>
        <n x="134"/>
        <n x="241" s="1"/>
      </t>
    </mdx>
    <mdx n="0" f="v">
      <t c="4" si="29">
        <n x="204"/>
        <n x="17"/>
        <n x="134"/>
        <n x="241" s="1"/>
      </t>
    </mdx>
    <mdx n="0" f="v">
      <t c="4" si="33">
        <n x="240"/>
        <n x="32"/>
        <n x="131"/>
        <n x="241" s="1"/>
      </t>
    </mdx>
    <mdx n="0" f="v">
      <t c="4" si="29">
        <n x="240"/>
        <n x="31"/>
        <n x="131"/>
        <n x="241" s="1"/>
      </t>
    </mdx>
    <mdx n="0" f="v">
      <t c="4" si="29">
        <n x="204"/>
        <n x="31"/>
        <n x="131"/>
        <n x="241" s="1"/>
      </t>
    </mdx>
    <mdx n="0" f="v">
      <t c="4" si="33">
        <n x="204"/>
        <n x="32"/>
        <n x="131"/>
        <n x="241" s="1"/>
      </t>
    </mdx>
    <mdx n="0" f="v">
      <t c="4" si="29">
        <n x="204"/>
        <n x="17"/>
        <n x="90"/>
        <n x="241" s="1"/>
      </t>
    </mdx>
    <mdx n="0" f="v">
      <t c="4" si="33">
        <n x="240"/>
        <n x="30"/>
        <n x="90"/>
        <n x="241" s="1"/>
      </t>
    </mdx>
    <mdx n="0" f="v">
      <t c="4" si="33">
        <n x="204"/>
        <n x="32"/>
        <n x="85"/>
        <n x="241" s="1"/>
      </t>
    </mdx>
    <mdx n="0" f="v">
      <t c="4" si="33">
        <n x="240"/>
        <n x="32"/>
        <n x="85"/>
        <n x="241" s="1"/>
      </t>
    </mdx>
    <mdx n="0" f="v">
      <t c="4" si="29">
        <n x="240"/>
        <n x="17"/>
        <n x="84"/>
        <n x="241" s="1"/>
      </t>
    </mdx>
    <mdx n="0" f="v">
      <t c="4" si="29">
        <n x="204"/>
        <n x="17"/>
        <n x="84"/>
        <n x="241" s="1"/>
      </t>
    </mdx>
    <mdx n="0" f="v">
      <t c="4" si="33">
        <n x="240"/>
        <n x="30"/>
        <n x="110"/>
        <n x="241" s="1"/>
      </t>
    </mdx>
    <mdx n="0" f="v">
      <t c="4" si="29">
        <n x="240"/>
        <n x="17"/>
        <n x="110"/>
        <n x="241" s="1"/>
      </t>
    </mdx>
    <mdx n="0" f="v">
      <t c="4" si="33">
        <n x="240"/>
        <n x="30"/>
        <n x="89"/>
        <n x="241" s="1"/>
      </t>
    </mdx>
    <mdx n="0" f="v">
      <t c="4" si="29">
        <n x="240"/>
        <n x="17"/>
        <n x="89"/>
        <n x="241" s="1"/>
      </t>
    </mdx>
    <mdx n="0" f="v">
      <t c="4" si="33">
        <n x="204"/>
        <n x="32"/>
        <n x="184"/>
        <n x="241" s="1"/>
      </t>
    </mdx>
    <mdx n="0" f="v">
      <t c="4" si="29">
        <n x="240"/>
        <n x="31"/>
        <n x="184"/>
        <n x="241" s="1"/>
      </t>
    </mdx>
    <mdx n="0" f="v">
      <t c="4" si="33">
        <n x="240"/>
        <n x="32"/>
        <n x="184"/>
        <n x="241" s="1"/>
      </t>
    </mdx>
    <mdx n="0" f="v">
      <t c="4" si="33">
        <n x="204"/>
        <n x="30"/>
        <n x="191"/>
        <n x="241" s="1"/>
      </t>
    </mdx>
    <mdx n="0" f="v">
      <t c="4" si="29">
        <n x="240"/>
        <n x="31"/>
        <n x="138"/>
        <n x="241" s="1"/>
      </t>
    </mdx>
    <mdx n="0" f="v">
      <t c="4" si="29">
        <n x="204"/>
        <n x="31"/>
        <n x="138"/>
        <n x="241" s="1"/>
      </t>
    </mdx>
    <mdx n="0" f="v">
      <t c="4" si="33">
        <n x="204"/>
        <n x="32"/>
        <n x="138"/>
        <n x="241" s="1"/>
      </t>
    </mdx>
    <mdx n="0" f="v">
      <t c="4" si="29">
        <n x="240"/>
        <n x="17"/>
        <n x="155"/>
        <n x="241" s="1"/>
      </t>
    </mdx>
    <mdx n="0" f="v">
      <t c="4" si="33">
        <n x="204"/>
        <n x="30"/>
        <n x="155"/>
        <n x="241" s="1"/>
      </t>
    </mdx>
    <mdx n="0" f="v">
      <t c="4" si="33">
        <n x="240"/>
        <n x="30"/>
        <n x="155"/>
        <n x="241" s="1"/>
      </t>
    </mdx>
    <mdx n="0" f="v">
      <t c="4" si="29">
        <n x="204"/>
        <n x="31"/>
        <n x="141"/>
        <n x="241" s="1"/>
      </t>
    </mdx>
    <mdx n="0" f="v">
      <t c="4" si="33">
        <n x="240"/>
        <n x="32"/>
        <n x="141"/>
        <n x="241" s="1"/>
      </t>
    </mdx>
    <mdx n="0" f="v">
      <t c="4" si="29">
        <n x="240"/>
        <n x="31"/>
        <n x="168"/>
        <n x="241" s="1"/>
      </t>
    </mdx>
    <mdx n="0" f="v">
      <t c="4" si="29">
        <n x="204"/>
        <n x="31"/>
        <n x="168"/>
        <n x="241" s="1"/>
      </t>
    </mdx>
    <mdx n="0" f="v">
      <t c="4" si="33">
        <n x="204"/>
        <n x="32"/>
        <n x="168"/>
        <n x="241" s="1"/>
      </t>
    </mdx>
    <mdx n="0" f="v">
      <t c="4" si="29">
        <n x="240"/>
        <n x="17"/>
        <n x="181"/>
        <n x="241" s="1"/>
      </t>
    </mdx>
    <mdx n="0" f="v">
      <t c="4" si="33">
        <n x="204"/>
        <n x="30"/>
        <n x="181"/>
        <n x="241" s="1"/>
      </t>
    </mdx>
    <mdx n="0" f="v">
      <t c="4" si="29">
        <n x="204"/>
        <n x="17"/>
        <n x="181"/>
        <n x="241" s="1"/>
      </t>
    </mdx>
    <mdx n="0" f="v">
      <t c="4" si="29">
        <n x="240"/>
        <n x="31"/>
        <n x="127"/>
        <n x="241" s="1"/>
      </t>
    </mdx>
    <mdx n="0" f="v">
      <t c="4" si="33">
        <n x="240"/>
        <n x="32"/>
        <n x="127"/>
        <n x="241" s="1"/>
      </t>
    </mdx>
    <mdx n="0" f="v">
      <t c="4" si="29">
        <n x="204"/>
        <n x="31"/>
        <n x="127"/>
        <n x="241" s="1"/>
      </t>
    </mdx>
    <mdx n="0" f="v">
      <t c="4" si="33">
        <n x="204"/>
        <n x="32"/>
        <n x="127"/>
        <n x="241" s="1"/>
      </t>
    </mdx>
    <mdx n="0" f="v">
      <t c="4" si="29">
        <n x="204"/>
        <n x="17"/>
        <n x="145"/>
        <n x="241" s="1"/>
      </t>
    </mdx>
    <mdx n="0" f="v">
      <t c="4" si="33">
        <n x="204"/>
        <n x="30"/>
        <n x="145"/>
        <n x="241" s="1"/>
      </t>
    </mdx>
    <mdx n="0" f="v">
      <t c="4" si="33">
        <n x="240"/>
        <n x="30"/>
        <n x="145"/>
        <n x="241" s="1"/>
      </t>
    </mdx>
    <mdx n="0" f="v">
      <t c="4" si="29">
        <n x="204"/>
        <n x="17"/>
        <n x="157"/>
        <n x="241" s="1"/>
      </t>
    </mdx>
    <mdx n="0" f="v">
      <t c="4" si="33">
        <n x="204"/>
        <n x="30"/>
        <n x="157"/>
        <n x="241" s="1"/>
      </t>
    </mdx>
    <mdx n="0" f="v">
      <t c="4" si="29">
        <n x="240"/>
        <n x="17"/>
        <n x="45"/>
        <n x="241" s="1"/>
      </t>
    </mdx>
    <mdx n="0" f="v">
      <t c="4" si="33">
        <n x="240"/>
        <n x="30"/>
        <n x="45"/>
        <n x="241" s="1"/>
      </t>
    </mdx>
    <mdx n="0" f="v">
      <t c="4" si="29">
        <n x="204"/>
        <n x="17"/>
        <n x="105"/>
        <n x="241" s="1"/>
      </t>
    </mdx>
    <mdx n="0" f="v">
      <t c="4" si="29">
        <n x="240"/>
        <n x="17"/>
        <n x="105"/>
        <n x="241" s="1"/>
      </t>
    </mdx>
    <mdx n="0" f="v">
      <t c="4" si="33">
        <n x="240"/>
        <n x="30"/>
        <n x="105"/>
        <n x="241" s="1"/>
      </t>
    </mdx>
    <mdx n="0" f="v">
      <t c="4" si="29">
        <n x="240"/>
        <n x="17"/>
        <n x="112"/>
        <n x="241" s="1"/>
      </t>
    </mdx>
    <mdx n="0" f="v">
      <t c="4" si="29">
        <n x="204"/>
        <n x="17"/>
        <n x="112"/>
        <n x="241" s="1"/>
      </t>
    </mdx>
    <mdx n="0" f="v">
      <t c="4" si="33">
        <n x="240"/>
        <n x="30"/>
        <n x="85"/>
        <n x="241" s="1"/>
      </t>
    </mdx>
    <mdx n="0" f="v">
      <t c="4" si="29">
        <n x="240"/>
        <n x="17"/>
        <n x="85"/>
        <n x="241" s="1"/>
      </t>
    </mdx>
    <mdx n="0" f="v">
      <t c="4" si="33">
        <n x="204"/>
        <n x="30"/>
        <n x="85"/>
        <n x="241" s="1"/>
      </t>
    </mdx>
    <mdx n="0" f="v">
      <t c="4" si="33">
        <n x="240"/>
        <n x="30"/>
        <n x="192"/>
        <n x="241" s="1"/>
      </t>
    </mdx>
    <mdx n="0" f="v">
      <t c="4" si="29">
        <n x="240"/>
        <n x="17"/>
        <n x="192"/>
        <n x="241" s="1"/>
      </t>
    </mdx>
    <mdx n="0" f="v">
      <t c="4" si="33">
        <n x="204"/>
        <n x="30"/>
        <n x="192"/>
        <n x="241" s="1"/>
      </t>
    </mdx>
    <mdx n="0" f="v">
      <t c="4" si="33">
        <n x="204"/>
        <n x="32"/>
        <n x="155"/>
        <n x="241" s="1"/>
      </t>
    </mdx>
    <mdx n="0" f="v">
      <t c="4" si="29">
        <n x="240"/>
        <n x="31"/>
        <n x="155"/>
        <n x="241" s="1"/>
      </t>
    </mdx>
    <mdx n="0" f="v">
      <t c="4" si="29">
        <n x="204"/>
        <n x="17"/>
        <n x="186"/>
        <n x="241" s="1"/>
      </t>
    </mdx>
    <mdx n="0" f="v">
      <t c="4" si="33">
        <n x="240"/>
        <n x="30"/>
        <n x="186"/>
        <n x="241" s="1"/>
      </t>
    </mdx>
    <mdx n="0" f="v">
      <t c="4" si="29">
        <n x="240"/>
        <n x="17"/>
        <n x="186"/>
        <n x="241" s="1"/>
      </t>
    </mdx>
    <mdx n="0" f="v">
      <t c="4" si="29">
        <n x="204"/>
        <n x="17"/>
        <n x="123"/>
        <n x="241" s="1"/>
      </t>
    </mdx>
    <mdx n="0" f="v">
      <t c="4" si="33">
        <n x="240"/>
        <n x="30"/>
        <n x="123"/>
        <n x="241" s="1"/>
      </t>
    </mdx>
    <mdx n="0" f="v">
      <t c="4" si="29">
        <n x="240"/>
        <n x="17"/>
        <n x="123"/>
        <n x="241" s="1"/>
      </t>
    </mdx>
    <mdx n="0" f="v">
      <t c="4" si="33">
        <n x="240"/>
        <n x="32"/>
        <n x="90"/>
        <n x="241" s="1"/>
      </t>
    </mdx>
    <mdx n="0" f="v">
      <t c="4" si="33">
        <n x="204"/>
        <n x="32"/>
        <n x="90"/>
        <n x="241" s="1"/>
      </t>
    </mdx>
    <mdx n="0" f="v">
      <t c="4" si="33">
        <n x="204"/>
        <n x="32"/>
        <n x="197"/>
        <n x="241" s="1"/>
      </t>
    </mdx>
    <mdx n="0" f="v">
      <t c="4" si="29">
        <n x="204"/>
        <n x="31"/>
        <n x="197"/>
        <n x="241" s="1"/>
      </t>
    </mdx>
    <mdx n="0" f="v">
      <t c="4" si="29">
        <n x="240"/>
        <n x="31"/>
        <n x="197"/>
        <n x="241" s="1"/>
      </t>
    </mdx>
    <mdx n="0" f="v">
      <t c="4" si="29">
        <n x="204"/>
        <n x="17"/>
        <n x="40"/>
        <n x="241" s="1"/>
      </t>
    </mdx>
    <mdx n="0" f="v">
      <t c="4" si="29">
        <n x="204"/>
        <n x="17"/>
        <n x="149"/>
        <n x="241" s="1"/>
      </t>
    </mdx>
    <mdx n="0" f="v">
      <t c="4" si="33">
        <n x="240"/>
        <n x="30"/>
        <n x="149"/>
        <n x="241" s="1"/>
      </t>
    </mdx>
    <mdx n="0" f="v">
      <t c="4" si="29">
        <n x="240"/>
        <n x="17"/>
        <n x="149"/>
        <n x="241" s="1"/>
      </t>
    </mdx>
    <mdx n="0" f="v">
      <t c="4" si="33">
        <n x="204"/>
        <n x="30"/>
        <n x="190"/>
        <n x="241" s="1"/>
      </t>
    </mdx>
    <mdx n="0" f="v">
      <t c="4" si="29">
        <n x="204"/>
        <n x="17"/>
        <n x="190"/>
        <n x="241" s="1"/>
      </t>
    </mdx>
    <mdx n="0" f="v">
      <t c="4" si="33">
        <n x="204"/>
        <n x="32"/>
        <n x="133"/>
        <n x="241" s="1"/>
      </t>
    </mdx>
    <mdx n="0" f="v">
      <t c="4" si="33">
        <n x="240"/>
        <n x="32"/>
        <n x="133"/>
        <n x="241" s="1"/>
      </t>
    </mdx>
    <mdx n="0" f="v">
      <t c="4" si="29">
        <n x="240"/>
        <n x="17"/>
        <n x="132"/>
        <n x="241" s="1"/>
      </t>
    </mdx>
    <mdx n="0" f="v">
      <t c="4" si="33">
        <n x="240"/>
        <n x="30"/>
        <n x="132"/>
        <n x="241" s="1"/>
      </t>
    </mdx>
    <mdx n="0" f="v">
      <t c="4" si="33">
        <n x="204"/>
        <n x="32"/>
        <n x="195"/>
        <n x="241" s="1"/>
      </t>
    </mdx>
    <mdx n="0" f="v">
      <t c="4" si="29">
        <n x="204"/>
        <n x="31"/>
        <n x="195"/>
        <n x="241" s="1"/>
      </t>
    </mdx>
    <mdx n="0" f="v">
      <t c="4" si="33">
        <n x="204"/>
        <n x="32"/>
        <n x="53"/>
        <n x="241" s="1"/>
      </t>
    </mdx>
    <mdx n="0" f="v">
      <t c="4" si="29">
        <n x="204"/>
        <n x="31"/>
        <n x="53"/>
        <n x="241" s="1"/>
      </t>
    </mdx>
    <mdx n="0" f="v">
      <t c="4" si="33">
        <n x="240"/>
        <n x="32"/>
        <n x="53"/>
        <n x="241" s="1"/>
      </t>
    </mdx>
    <mdx n="0" f="v">
      <t c="4" si="29">
        <n x="240"/>
        <n x="31"/>
        <n x="53"/>
        <n x="241" s="1"/>
      </t>
    </mdx>
    <mdx n="0" f="v">
      <t c="4" si="33">
        <n x="240"/>
        <n x="32"/>
        <n x="189"/>
        <n x="241" s="1"/>
      </t>
    </mdx>
    <mdx n="0" f="v">
      <t c="4" si="33">
        <n x="204"/>
        <n x="32"/>
        <n x="189"/>
        <n x="241" s="1"/>
      </t>
    </mdx>
    <mdx n="0" f="v">
      <t c="4" si="29">
        <n x="204"/>
        <n x="31"/>
        <n x="189"/>
        <n x="241" s="1"/>
      </t>
    </mdx>
    <mdx n="0" f="v">
      <t c="4" si="29">
        <n x="240"/>
        <n x="31"/>
        <n x="189"/>
        <n x="241" s="1"/>
      </t>
    </mdx>
    <mdx n="0" f="v">
      <t c="4" si="29">
        <n x="240"/>
        <n x="31"/>
        <n x="176"/>
        <n x="241" s="1"/>
      </t>
    </mdx>
    <mdx n="0" f="v">
      <t c="4" si="33">
        <n x="240"/>
        <n x="32"/>
        <n x="176"/>
        <n x="241" s="1"/>
      </t>
    </mdx>
    <mdx n="0" f="v">
      <t c="4" si="33">
        <n x="240"/>
        <n x="30"/>
        <n x="150"/>
        <n x="241" s="1"/>
      </t>
    </mdx>
    <mdx n="0" f="v">
      <t c="4" si="29">
        <n x="204"/>
        <n x="17"/>
        <n x="150"/>
        <n x="241" s="1"/>
      </t>
    </mdx>
    <mdx n="0" f="v">
      <t c="4" si="29">
        <n x="240"/>
        <n x="17"/>
        <n x="150"/>
        <n x="241" s="1"/>
      </t>
    </mdx>
    <mdx n="0" f="v">
      <t c="4" si="33">
        <n x="204"/>
        <n x="30"/>
        <n x="150"/>
        <n x="241" s="1"/>
      </t>
    </mdx>
    <mdx n="0" f="v">
      <t c="4" si="29">
        <n x="240"/>
        <n x="31"/>
        <n x="84"/>
        <n x="241" s="1"/>
      </t>
    </mdx>
    <mdx n="0" f="v">
      <t c="4" si="33">
        <n x="240"/>
        <n x="32"/>
        <n x="84"/>
        <n x="241" s="1"/>
      </t>
    </mdx>
    <mdx n="0" f="v">
      <t c="4" si="33">
        <n x="204"/>
        <n x="32"/>
        <n x="84"/>
        <n x="241" s="1"/>
      </t>
    </mdx>
    <mdx n="0" f="v">
      <t c="4" si="33">
        <n x="240"/>
        <n x="30"/>
        <n x="98"/>
        <n x="241" s="1"/>
      </t>
    </mdx>
    <mdx n="0" f="v">
      <t c="4" si="29">
        <n x="204"/>
        <n x="17"/>
        <n x="98"/>
        <n x="241" s="1"/>
      </t>
    </mdx>
    <mdx n="0" f="v">
      <t c="4" si="29">
        <n x="240"/>
        <n x="17"/>
        <n x="98"/>
        <n x="241" s="1"/>
      </t>
    </mdx>
    <mdx n="0" f="v">
      <t c="4" si="33">
        <n x="204"/>
        <n x="30"/>
        <n x="98"/>
        <n x="241" s="1"/>
      </t>
    </mdx>
    <mdx n="0" f="v">
      <t c="4" si="33">
        <n x="204"/>
        <n x="32"/>
        <n x="139"/>
        <n x="241" s="1"/>
      </t>
    </mdx>
    <mdx n="0" f="v">
      <t c="4" si="29">
        <n x="240"/>
        <n x="31"/>
        <n x="139"/>
        <n x="241" s="1"/>
      </t>
    </mdx>
    <mdx n="0" f="v">
      <t c="4" si="29">
        <n x="204"/>
        <n x="31"/>
        <n x="139"/>
        <n x="241" s="1"/>
      </t>
    </mdx>
    <mdx n="0" f="v">
      <t c="4" si="29">
        <n x="240"/>
        <n x="31"/>
        <n x="111"/>
        <n x="241" s="1"/>
      </t>
    </mdx>
    <mdx n="0" f="v">
      <t c="4" si="33">
        <n x="204"/>
        <n x="32"/>
        <n x="111"/>
        <n x="241" s="1"/>
      </t>
    </mdx>
    <mdx n="0" f="v">
      <t c="4" si="29">
        <n x="204"/>
        <n x="31"/>
        <n x="123"/>
        <n x="241" s="1"/>
      </t>
    </mdx>
    <mdx n="0" f="v">
      <t c="4" si="33">
        <n x="204"/>
        <n x="32"/>
        <n x="123"/>
        <n x="241" s="1"/>
      </t>
    </mdx>
    <mdx n="0" f="v">
      <t c="4" si="29">
        <n x="240"/>
        <n x="31"/>
        <n x="123"/>
        <n x="241" s="1"/>
      </t>
    </mdx>
    <mdx n="0" f="v">
      <t c="4" si="29">
        <n x="240"/>
        <n x="31"/>
        <n x="136"/>
        <n x="241" s="1"/>
      </t>
    </mdx>
    <mdx n="0" f="v">
      <t c="4" si="29">
        <n x="204"/>
        <n x="31"/>
        <n x="136"/>
        <n x="241" s="1"/>
      </t>
    </mdx>
    <mdx n="0" f="v">
      <t c="4" si="33">
        <n x="204"/>
        <n x="32"/>
        <n x="136"/>
        <n x="241" s="1"/>
      </t>
    </mdx>
    <mdx n="0" f="v">
      <t c="4" si="33">
        <n x="240"/>
        <n x="32"/>
        <n x="136"/>
        <n x="241" s="1"/>
      </t>
    </mdx>
    <mdx n="0" f="v">
      <t c="4" si="33">
        <n x="240"/>
        <n x="32"/>
        <n x="88"/>
        <n x="241" s="1"/>
      </t>
    </mdx>
    <mdx n="0" f="v">
      <t c="4" si="33">
        <n x="204"/>
        <n x="32"/>
        <n x="88"/>
        <n x="241" s="1"/>
      </t>
    </mdx>
    <mdx n="0" f="v">
      <t c="4" si="29">
        <n x="204"/>
        <n x="31"/>
        <n x="88"/>
        <n x="241" s="1"/>
      </t>
    </mdx>
    <mdx n="0" f="v">
      <t c="4" si="29">
        <n x="240"/>
        <n x="17"/>
        <n x="103"/>
        <n x="241" s="1"/>
      </t>
    </mdx>
    <mdx n="0" f="v">
      <t c="4" si="33">
        <n x="204"/>
        <n x="30"/>
        <n x="103"/>
        <n x="241" s="1"/>
      </t>
    </mdx>
    <mdx n="0" f="v">
      <t c="4" si="29">
        <n x="204"/>
        <n x="31"/>
        <n x="186"/>
        <n x="241" s="1"/>
      </t>
    </mdx>
    <mdx n="0" f="v">
      <t c="4" si="33">
        <n x="204"/>
        <n x="32"/>
        <n x="186"/>
        <n x="241" s="1"/>
      </t>
    </mdx>
    <mdx n="0" f="v">
      <t c="4" si="33">
        <n x="240"/>
        <n x="32"/>
        <n x="186"/>
        <n x="241" s="1"/>
      </t>
    </mdx>
    <mdx n="0" f="v">
      <t c="4" si="29">
        <n x="204"/>
        <n x="17"/>
        <n x="165"/>
        <n x="241" s="1"/>
      </t>
    </mdx>
    <mdx n="0" f="v">
      <t c="4" si="33">
        <n x="204"/>
        <n x="30"/>
        <n x="165"/>
        <n x="241" s="1"/>
      </t>
    </mdx>
    <mdx n="0" f="v">
      <t c="4" si="33">
        <n x="240"/>
        <n x="30"/>
        <n x="165"/>
        <n x="241" s="1"/>
      </t>
    </mdx>
    <mdx n="0" f="v">
      <t c="4" si="29">
        <n x="240"/>
        <n x="17"/>
        <n x="165"/>
        <n x="241" s="1"/>
      </t>
    </mdx>
    <mdx n="0" f="v">
      <t c="4" si="33">
        <n x="240"/>
        <n x="30"/>
        <n x="174"/>
        <n x="241" s="1"/>
      </t>
    </mdx>
    <mdx n="0" f="v">
      <t c="4" si="29">
        <n x="240"/>
        <n x="17"/>
        <n x="174"/>
        <n x="241" s="1"/>
      </t>
    </mdx>
    <mdx n="0" f="v">
      <t c="4" si="29">
        <n x="240"/>
        <n x="31"/>
        <n x="112"/>
        <n x="241" s="1"/>
      </t>
    </mdx>
    <mdx n="0" f="v">
      <t c="4" si="29">
        <n x="204"/>
        <n x="31"/>
        <n x="112"/>
        <n x="241" s="1"/>
      </t>
    </mdx>
    <mdx n="0" f="v">
      <t c="4" si="29">
        <n x="240"/>
        <n x="17"/>
        <n x="100"/>
        <n x="241" s="1"/>
      </t>
    </mdx>
    <mdx n="0" f="v">
      <t c="4" si="29">
        <n x="204"/>
        <n x="17"/>
        <n x="100"/>
        <n x="241" s="1"/>
      </t>
    </mdx>
    <mdx n="0" f="v">
      <t c="4" si="29">
        <n x="240"/>
        <n x="17"/>
        <n x="129"/>
        <n x="241" s="1"/>
      </t>
    </mdx>
    <mdx n="0" f="v">
      <t c="4" si="33">
        <n x="240"/>
        <n x="30"/>
        <n x="129"/>
        <n x="241" s="1"/>
      </t>
    </mdx>
    <mdx n="0" f="v">
      <t c="4" si="33">
        <n x="240"/>
        <n x="32"/>
        <n x="157"/>
        <n x="241" s="1"/>
      </t>
    </mdx>
    <mdx n="0" f="v">
      <t c="4" si="29">
        <n x="240"/>
        <n x="31"/>
        <n x="157"/>
        <n x="241" s="1"/>
      </t>
    </mdx>
    <mdx n="0" f="v">
      <t c="4" si="33">
        <n x="204"/>
        <n x="32"/>
        <n x="157"/>
        <n x="241" s="1"/>
      </t>
    </mdx>
    <mdx n="0" f="v">
      <t c="4" si="29">
        <n x="240"/>
        <n x="17"/>
        <n x="49"/>
        <n x="241" s="1"/>
      </t>
    </mdx>
    <mdx n="0" f="v">
      <t c="4" si="29">
        <n x="204"/>
        <n x="17"/>
        <n x="49"/>
        <n x="241" s="1"/>
      </t>
    </mdx>
    <mdx n="0" f="v">
      <t c="4" si="33">
        <n x="240"/>
        <n x="30"/>
        <n x="49"/>
        <n x="241" s="1"/>
      </t>
    </mdx>
    <mdx n="0" f="v">
      <t c="4" si="33">
        <n x="204"/>
        <n x="32"/>
        <n x="171"/>
        <n x="241" s="1"/>
      </t>
    </mdx>
    <mdx n="0" f="v">
      <t c="4" si="33">
        <n x="240"/>
        <n x="32"/>
        <n x="171"/>
        <n x="241" s="1"/>
      </t>
    </mdx>
    <mdx n="0" f="v">
      <t c="4" si="29">
        <n x="240"/>
        <n x="31"/>
        <n x="171"/>
        <n x="241" s="1"/>
      </t>
    </mdx>
    <mdx n="0" f="v">
      <t c="4" si="29">
        <n x="240"/>
        <n x="17"/>
        <n x="133"/>
        <n x="241" s="1"/>
      </t>
    </mdx>
    <mdx n="0" f="v">
      <t c="4" si="33">
        <n x="204"/>
        <n x="30"/>
        <n x="133"/>
        <n x="241" s="1"/>
      </t>
    </mdx>
    <mdx n="0" f="v">
      <t c="4" si="29">
        <n x="204"/>
        <n x="17"/>
        <n x="147"/>
        <n x="241" s="1"/>
      </t>
    </mdx>
    <mdx n="0" f="v">
      <t c="4" si="29">
        <n x="240"/>
        <n x="17"/>
        <n x="147"/>
        <n x="241" s="1"/>
      </t>
    </mdx>
    <mdx n="0" f="v">
      <t c="4" si="29">
        <n x="240"/>
        <n x="17"/>
        <n x="126"/>
        <n x="241" s="1"/>
      </t>
    </mdx>
    <mdx n="0" f="v">
      <t c="4" si="29">
        <n x="204"/>
        <n x="17"/>
        <n x="126"/>
        <n x="241" s="1"/>
      </t>
    </mdx>
    <mdx n="0" f="v">
      <t c="4" si="33">
        <n x="240"/>
        <n x="30"/>
        <n x="126"/>
        <n x="241" s="1"/>
      </t>
    </mdx>
    <mdx n="0" f="v">
      <t c="4" si="33">
        <n x="204"/>
        <n x="30"/>
        <n x="183"/>
        <n x="241" s="1"/>
      </t>
    </mdx>
    <mdx n="0" f="v">
      <t c="4" si="29">
        <n x="204"/>
        <n x="17"/>
        <n x="183"/>
        <n x="241" s="1"/>
      </t>
    </mdx>
    <mdx n="0" f="v">
      <t c="4" si="29">
        <n x="240"/>
        <n x="17"/>
        <n x="183"/>
        <n x="241" s="1"/>
      </t>
    </mdx>
    <mdx n="0" f="v">
      <t c="4" si="33">
        <n x="240"/>
        <n x="32"/>
        <n x="120"/>
        <n x="241" s="1"/>
      </t>
    </mdx>
    <mdx n="0" f="v">
      <t c="4" si="29">
        <n x="204"/>
        <n x="31"/>
        <n x="120"/>
        <n x="241" s="1"/>
      </t>
    </mdx>
    <mdx n="0" f="v">
      <t c="4" si="29">
        <n x="240"/>
        <n x="31"/>
        <n x="120"/>
        <n x="241" s="1"/>
      </t>
    </mdx>
    <mdx n="0" f="v">
      <t c="4" si="29">
        <n x="240"/>
        <n x="17"/>
        <n x="143"/>
        <n x="241" s="1"/>
      </t>
    </mdx>
    <mdx n="0" f="v">
      <t c="4" si="29">
        <n x="204"/>
        <n x="17"/>
        <n x="143"/>
        <n x="241" s="1"/>
      </t>
    </mdx>
    <mdx n="0" f="v">
      <t c="4" si="33">
        <n x="240"/>
        <n x="30"/>
        <n x="143"/>
        <n x="241" s="1"/>
      </t>
    </mdx>
    <mdx n="0" f="v">
      <t c="4" si="33">
        <n x="240"/>
        <n x="32"/>
        <n x="174"/>
        <n x="241" s="1"/>
      </t>
    </mdx>
    <mdx n="0" f="v">
      <t c="4" si="33">
        <n x="204"/>
        <n x="32"/>
        <n x="174"/>
        <n x="241" s="1"/>
      </t>
    </mdx>
    <mdx n="0" f="v">
      <t c="4" si="29">
        <n x="240"/>
        <n x="31"/>
        <n x="174"/>
        <n x="241" s="1"/>
      </t>
    </mdx>
    <mdx n="0" f="v">
      <t c="4" si="33">
        <n x="204"/>
        <n x="32"/>
        <n x="158"/>
        <n x="241" s="1"/>
      </t>
    </mdx>
    <mdx n="0" f="v">
      <t c="4" si="33">
        <n x="240"/>
        <n x="32"/>
        <n x="158"/>
        <n x="241" s="1"/>
      </t>
    </mdx>
    <mdx n="0" f="v">
      <t c="4" si="29">
        <n x="204"/>
        <n x="31"/>
        <n x="158"/>
        <n x="241" s="1"/>
      </t>
    </mdx>
    <mdx n="0" f="v">
      <t c="4" si="33">
        <n x="204"/>
        <n x="32"/>
        <n x="179"/>
        <n x="241" s="1"/>
      </t>
    </mdx>
    <mdx n="0" f="v">
      <t c="4" si="29">
        <n x="240"/>
        <n x="31"/>
        <n x="179"/>
        <n x="241" s="1"/>
      </t>
    </mdx>
    <mdx n="0" f="v">
      <t c="4" si="29">
        <n x="204"/>
        <n x="31"/>
        <n x="179"/>
        <n x="241" s="1"/>
      </t>
    </mdx>
    <mdx n="0" f="v">
      <t c="4" si="33">
        <n x="240"/>
        <n x="32"/>
        <n x="179"/>
        <n x="241" s="1"/>
      </t>
    </mdx>
    <mdx n="0" f="v">
      <t c="4" si="33">
        <n x="204"/>
        <n x="32"/>
        <n x="120"/>
        <n x="241" s="1"/>
      </t>
    </mdx>
    <mdx n="0" f="v">
      <t c="4" si="33">
        <n x="204"/>
        <n x="30"/>
        <n x="122"/>
        <n x="241" s="1"/>
      </t>
    </mdx>
    <mdx n="0" f="v">
      <t c="4" si="33">
        <n x="240"/>
        <n x="32"/>
        <n x="144"/>
        <n x="241" s="1"/>
      </t>
    </mdx>
    <mdx n="0" f="v">
      <t c="4" si="29">
        <n x="204"/>
        <n x="31"/>
        <n x="104"/>
        <n x="241" s="1"/>
      </t>
    </mdx>
    <mdx n="0" f="v">
      <t c="4" si="29">
        <n x="240"/>
        <n x="17"/>
        <n x="168"/>
        <n x="241" s="1"/>
      </t>
    </mdx>
    <mdx n="0" f="v">
      <t c="4" si="29">
        <n x="240"/>
        <n x="31"/>
        <n x="85"/>
        <n x="241" s="1"/>
      </t>
    </mdx>
    <mdx n="0" f="v">
      <t c="4" si="29">
        <n x="204"/>
        <n x="31"/>
        <n x="153"/>
        <n x="241" s="1"/>
      </t>
    </mdx>
    <mdx n="0" f="v">
      <t c="4" si="33">
        <n x="240"/>
        <n x="30"/>
        <n x="83"/>
        <n x="241" s="1"/>
      </t>
    </mdx>
    <mdx n="0" f="v">
      <t c="4" si="29">
        <n x="204"/>
        <n x="31"/>
        <n x="157"/>
        <n x="241" s="1"/>
      </t>
    </mdx>
    <mdx n="0" f="v">
      <t c="4" si="33">
        <n x="240"/>
        <n x="32"/>
        <n x="123"/>
        <n x="241" s="1"/>
      </t>
    </mdx>
    <mdx n="0" f="v">
      <t c="4" si="33">
        <n x="240"/>
        <n x="30"/>
        <n x="181"/>
        <n x="241" s="1"/>
      </t>
    </mdx>
    <mdx n="0" f="v">
      <t c="4" si="29">
        <n x="240"/>
        <n x="17"/>
        <n x="104"/>
        <n x="241" s="1"/>
      </t>
    </mdx>
    <mdx n="0" f="v">
      <t c="4" si="29">
        <n x="240"/>
        <n x="17"/>
        <n x="121"/>
        <n x="241" s="1"/>
      </t>
    </mdx>
    <mdx n="0" f="v">
      <t c="4" si="29">
        <n x="204"/>
        <n x="31"/>
        <n x="150"/>
        <n x="241" s="1"/>
      </t>
    </mdx>
    <mdx n="0" f="v">
      <t c="4" si="33">
        <n x="240"/>
        <n x="30"/>
        <n x="142"/>
        <n x="241" s="1"/>
      </t>
    </mdx>
    <mdx n="0" f="v">
      <t c="4" si="33">
        <n x="204"/>
        <n x="32"/>
        <n x="193"/>
        <n x="241" s="1"/>
      </t>
    </mdx>
    <mdx n="0" f="v">
      <t c="4" si="33">
        <n x="240"/>
        <n x="30"/>
        <n x="120"/>
        <n x="241" s="1"/>
      </t>
    </mdx>
    <mdx n="0" f="v">
      <t c="4" si="29">
        <n x="204"/>
        <n x="31"/>
        <n x="199"/>
        <n x="241" s="1"/>
      </t>
    </mdx>
    <mdx n="0" f="v">
      <t c="4" si="29">
        <n x="240"/>
        <n x="17"/>
        <n x="111"/>
        <n x="241" s="1"/>
      </t>
    </mdx>
    <mdx n="0" f="v">
      <t c="4" si="29">
        <n x="240"/>
        <n x="31"/>
        <n x="183"/>
        <n x="241" s="1"/>
      </t>
    </mdx>
    <mdx n="0" f="v">
      <t c="4" si="33">
        <n x="240"/>
        <n x="32"/>
        <n x="44"/>
        <n x="241" s="1"/>
      </t>
    </mdx>
    <mdx n="0" f="v">
      <t c="4" si="29">
        <n x="204"/>
        <n x="17"/>
        <n x="133"/>
        <n x="241" s="1"/>
      </t>
    </mdx>
    <mdx n="0" f="v">
      <t c="4" si="29">
        <n x="204"/>
        <n x="31"/>
        <n x="152"/>
        <n x="241" s="1"/>
      </t>
    </mdx>
    <mdx n="0" f="v">
      <t c="4" si="33">
        <n x="204"/>
        <n x="32"/>
        <n x="135"/>
        <n x="241" s="1"/>
      </t>
    </mdx>
    <mdx n="0" f="v">
      <t c="4" si="33">
        <n x="240"/>
        <n x="32"/>
        <n x="100"/>
        <n x="241" s="1"/>
      </t>
    </mdx>
    <mdx n="0" f="v">
      <t c="4" si="33">
        <n x="204"/>
        <n x="32"/>
        <n x="169"/>
        <n x="241" s="1"/>
      </t>
    </mdx>
    <mdx n="0" f="v">
      <t c="4" si="29">
        <n x="240"/>
        <n x="31"/>
        <n x="88"/>
        <n x="241" s="1"/>
      </t>
    </mdx>
    <mdx n="0" f="v">
      <t c="4" si="29">
        <n x="204"/>
        <n x="17"/>
        <n x="191"/>
        <n x="241" s="1"/>
      </t>
    </mdx>
    <mdx n="0" f="v">
      <t c="4" si="33">
        <n x="240"/>
        <n x="32"/>
        <n x="167"/>
        <n x="241" s="1"/>
      </t>
    </mdx>
    <mdx n="0" f="v">
      <t c="4" si="29">
        <n x="204"/>
        <n x="17"/>
        <n x="106"/>
        <n x="241" s="1"/>
      </t>
    </mdx>
    <mdx n="0" f="v">
      <t c="4" si="33">
        <n x="204"/>
        <n x="32"/>
        <n x="99"/>
        <n x="241" s="1"/>
      </t>
    </mdx>
    <mdx n="0" f="v">
      <t c="4" si="29">
        <n x="240"/>
        <n x="31"/>
        <n x="130"/>
        <n x="241" s="1"/>
      </t>
    </mdx>
    <mdx n="0" f="v">
      <t c="4" si="29">
        <n x="240"/>
        <n x="17"/>
        <n x="38"/>
        <n x="241" s="1"/>
      </t>
    </mdx>
    <mdx n="0" f="v">
      <t c="4" si="33">
        <n x="240"/>
        <n x="30"/>
        <n x="94"/>
        <n x="241" s="1"/>
      </t>
    </mdx>
    <mdx n="0" f="v">
      <t c="4" si="29">
        <n x="204"/>
        <n x="31"/>
        <n x="180"/>
        <n x="241" s="1"/>
      </t>
    </mdx>
    <mdx n="0" f="v">
      <t c="4" si="33">
        <n x="204"/>
        <n x="30"/>
        <n x="95"/>
        <n x="241" s="1"/>
      </t>
    </mdx>
    <mdx n="0" f="v">
      <t c="4" si="29">
        <n x="204"/>
        <n x="17"/>
        <n x="97"/>
        <n x="241" s="1"/>
      </t>
    </mdx>
    <mdx n="0" f="v">
      <t c="4" si="29">
        <n x="240"/>
        <n x="17"/>
        <n x="148"/>
        <n x="241" s="1"/>
      </t>
    </mdx>
    <mdx n="0" f="v">
      <t c="4" si="33">
        <n x="204"/>
        <n x="30"/>
        <n x="40"/>
        <n x="241" s="1"/>
      </t>
    </mdx>
    <mdx n="0" f="v">
      <t c="4" si="29">
        <n x="204"/>
        <n x="17"/>
        <n x="110"/>
        <n x="241" s="1"/>
      </t>
    </mdx>
    <mdx n="0" f="v">
      <t c="4" si="29">
        <n x="240"/>
        <n x="17"/>
        <n x="118"/>
        <n x="241" s="1"/>
      </t>
    </mdx>
    <mdx n="0" f="v">
      <t c="4" si="29">
        <n x="240"/>
        <n x="17"/>
        <n x="180"/>
        <n x="241" s="1"/>
      </t>
    </mdx>
    <mdx n="0" f="v">
      <t c="4" si="29">
        <n x="204"/>
        <n x="17"/>
        <n x="37"/>
        <n x="241" s="1"/>
      </t>
    </mdx>
    <mdx n="0" f="v">
      <t c="4" si="29">
        <n x="204"/>
        <n x="31"/>
        <n x="83"/>
        <n x="241" s="1"/>
      </t>
    </mdx>
    <mdx n="0" f="v">
      <t c="4" si="33">
        <n x="240"/>
        <n x="32"/>
        <n x="151"/>
        <n x="241" s="1"/>
      </t>
    </mdx>
  </mdxMetadata>
  <valueMetadata count="196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</valueMetadata>
</metadata>
</file>

<file path=xl/sharedStrings.xml><?xml version="1.0" encoding="utf-8"?>
<sst xmlns="http://schemas.openxmlformats.org/spreadsheetml/2006/main" count="999" uniqueCount="314">
  <si>
    <t>CROATIA OSIGURANJE D.D.</t>
  </si>
  <si>
    <t>TRIGLAV OSIGURANJE D.D.</t>
  </si>
  <si>
    <t>ALLIANZ ZAGREB D.D</t>
  </si>
  <si>
    <t>JADRANSKO OSIGURANJE D.D.</t>
  </si>
  <si>
    <t>EUROHERC OSIGURANJE D.D.</t>
  </si>
  <si>
    <t>GRAWE HRVATSKA D.D</t>
  </si>
  <si>
    <t>MERKUR OSIGURANJE D.D.</t>
  </si>
  <si>
    <t>SUNCE OSIGURANJE D.D.</t>
  </si>
  <si>
    <t>UNIQA OSIGURANJE D.D.</t>
  </si>
  <si>
    <t>HOK OSIGURANJE D.D.</t>
  </si>
  <si>
    <t>GENERALI OSIGURANJE D.D.</t>
  </si>
  <si>
    <t>ERSTE OSIGURANJE VIG D.D.</t>
  </si>
  <si>
    <t>VELEBIT OSIGURANJE D.D.</t>
  </si>
  <si>
    <t>IZVOR OSIGURANJE D.D.</t>
  </si>
  <si>
    <t>NazivDrustva</t>
  </si>
  <si>
    <t>CROATIA LLOYD D.D.</t>
  </si>
  <si>
    <t>IDDrustvo</t>
  </si>
  <si>
    <t>Row Labels</t>
  </si>
  <si>
    <t>BASLER OSIGURANJE D.D.</t>
  </si>
  <si>
    <t>BASLER ŽIVOTNO OSIGURANJE D.D.</t>
  </si>
  <si>
    <t>BNP PARIBAS CARDIF OSIGURANJE D.D</t>
  </si>
  <si>
    <t>COSMOPOLITAN LIFE VIENNA INSURANCE GROUP D.D.</t>
  </si>
  <si>
    <t>HRVATSKO KREDITNO OSIGURANJE D.D.</t>
  </si>
  <si>
    <t>KD LIFE OSIGURANJE D.D.</t>
  </si>
  <si>
    <t>SOCIETE GENERALE OSIGURANJE D.D.</t>
  </si>
  <si>
    <t>VELEBIT ŽIVOTNO OSIGURANJE D.D.</t>
  </si>
  <si>
    <t>HRVATSKI URED ZA OSIGURANJE</t>
  </si>
  <si>
    <t>MEDITERAN OSIGURANJE D.D.</t>
  </si>
  <si>
    <t>SLAVONIJA OSIGURANJE D.D.</t>
  </si>
  <si>
    <t>ADRIA OSIGURANJE D.D.</t>
  </si>
  <si>
    <t>AURUM WIENER STÄDTISCHE OSIGURANJE D.D.</t>
  </si>
  <si>
    <t>VERITAS OSIGURANJE D.D.</t>
  </si>
  <si>
    <t>ATLAS OSIGURANJE D.D.</t>
  </si>
  <si>
    <t>ALPINA OSIGURANJE D.D.</t>
  </si>
  <si>
    <t xml:space="preserve">NEŽIVOTNA OSIGURANJA </t>
  </si>
  <si>
    <t>ŽIVOTNA OSIGURANJA</t>
  </si>
  <si>
    <t>UKUPNO</t>
  </si>
  <si>
    <t>Zaračunata bruto premija u kn</t>
  </si>
  <si>
    <t>Udio u %</t>
  </si>
  <si>
    <t>Osiguratelj</t>
  </si>
  <si>
    <t>Vrste osiguranja</t>
  </si>
  <si>
    <t>Broj osiguranja</t>
  </si>
  <si>
    <t>Broj šteta</t>
  </si>
  <si>
    <t>Likvidirane štete, bruto iznosi u kn</t>
  </si>
  <si>
    <t>Vrsta rizika</t>
  </si>
  <si>
    <t>udio u %</t>
  </si>
  <si>
    <t>Ukupno obvezna osiguranja u prometu</t>
  </si>
  <si>
    <t>01.01</t>
  </si>
  <si>
    <t>01.02</t>
  </si>
  <si>
    <t>01.03</t>
  </si>
  <si>
    <t>01.04</t>
  </si>
  <si>
    <t>01.05</t>
  </si>
  <si>
    <t>01.06</t>
  </si>
  <si>
    <t>01.07</t>
  </si>
  <si>
    <t>01.99</t>
  </si>
  <si>
    <t>02</t>
  </si>
  <si>
    <t>02.01</t>
  </si>
  <si>
    <t>02.02</t>
  </si>
  <si>
    <t>02.04</t>
  </si>
  <si>
    <t>02.06</t>
  </si>
  <si>
    <t>02.99</t>
  </si>
  <si>
    <t>Ukupno 01 i 02</t>
  </si>
  <si>
    <t>Index</t>
  </si>
  <si>
    <t>Ukupno 03, 04, 05 i 06</t>
  </si>
  <si>
    <t>Ukupno 07, 08 i 09</t>
  </si>
  <si>
    <t>Ukupno 10, 11 i 12</t>
  </si>
  <si>
    <t>Likvidirane štete, bruto iznos u kn</t>
  </si>
  <si>
    <t>Ukupno 13</t>
  </si>
  <si>
    <t>Ukupno 14, 15, 16, 17 i 18</t>
  </si>
  <si>
    <t>Ukupno život</t>
  </si>
  <si>
    <t>Kretanja na tržištu osiguranja</t>
  </si>
  <si>
    <t>Popis izvještaja:</t>
  </si>
  <si>
    <t>V</t>
  </si>
  <si>
    <t>Svibanj</t>
  </si>
  <si>
    <t>MjesecOznaka</t>
  </si>
  <si>
    <t>MjesecNaziv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</si>
  <si>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</si>
  <si>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</si>
  <si>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</si>
  <si>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</si>
  <si>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</si>
  <si>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</si>
  <si>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</si>
  <si>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</si>
  <si>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</si>
  <si>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</si>
  <si>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</si>
  <si>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Siječanj</t>
  </si>
  <si>
    <t>Veljača</t>
  </si>
  <si>
    <t>Ožujak</t>
  </si>
  <si>
    <t>Travanj</t>
  </si>
  <si>
    <t>Lipanj</t>
  </si>
  <si>
    <t>Srpanj</t>
  </si>
  <si>
    <t>Kolovoz</t>
  </si>
  <si>
    <t>Rujan</t>
  </si>
  <si>
    <t>Listopad</t>
  </si>
  <si>
    <t>Studeni</t>
  </si>
  <si>
    <t>Prosinac</t>
  </si>
  <si>
    <t>I.-III</t>
  </si>
  <si>
    <t>I.-VI</t>
  </si>
  <si>
    <t>I.-IX</t>
  </si>
  <si>
    <t>I.-XII</t>
  </si>
  <si>
    <t xml:space="preserve">I. tromjesečje </t>
  </si>
  <si>
    <t xml:space="preserve">II. tromjesečje </t>
  </si>
  <si>
    <t xml:space="preserve">III. tromjesečje </t>
  </si>
  <si>
    <t xml:space="preserve">IV. tromjesečje </t>
  </si>
  <si>
    <t>ERGO ŽIVOTNO OSIGURANJE D.D .</t>
  </si>
  <si>
    <t>WÜSTENROT ŽIVOTNO OSIGURANJE D.D .</t>
  </si>
  <si>
    <t>Ž I V O T N A   O S I G U R A NJ A</t>
  </si>
  <si>
    <t>Broj novih osiguranja s višekratnim plaćanjem premije</t>
  </si>
  <si>
    <t>Broj novih osiguranja s jednokratnim plaćanjem premije</t>
  </si>
  <si>
    <t>Zaračunata bruto premija novih osiguranja s višekratnim plaćanjem premije u kn</t>
  </si>
  <si>
    <t>Zaračunata bruto premija novih osiguranja s jednokratnim plaćanjem premije u kn</t>
  </si>
  <si>
    <t>Učestalost podatka</t>
  </si>
  <si>
    <t>Godina podatka</t>
  </si>
  <si>
    <t>HELIOS VIENNA INSURANCE GROUP DD --&gt; WIENER OSIG.</t>
  </si>
  <si>
    <t>WIENER OSIGURANJE VIENNA INSURANCE GROUP  D.D</t>
  </si>
  <si>
    <t>CROATIA ZDRAVSTVENO OSIGURANJE DD</t>
  </si>
  <si>
    <t>NEPOZNATO DRUSTVO</t>
  </si>
  <si>
    <t>ERGO OSIGURANJE D.D</t>
  </si>
  <si>
    <t>CROATIA OSIGURANJE D.D. putem AVUS-a</t>
  </si>
  <si>
    <t>BASLER OSIGURANJE ZAGREB D.D. --&gt; UNIQA OSIG.</t>
  </si>
  <si>
    <t>AGRAM LIFE OSIGURANJE DD</t>
  </si>
  <si>
    <t>PREGLED ZARAČUNATE BRUTO PREMIJE PO DRUŠTVIMA ZA OSIGURANJE -Rujan 2014.-</t>
  </si>
  <si>
    <t>Indeks 14/13</t>
  </si>
  <si>
    <t>IX./2013</t>
  </si>
  <si>
    <t>IX./2014</t>
  </si>
  <si>
    <t>-</t>
  </si>
  <si>
    <t>Ukupno</t>
  </si>
  <si>
    <t>BROJ I VRIJEDNOST LIKVIDIRANIH ŠTETA ODABRANIH VRSTA OSIGURANJA / RIZIKA(ŽIVOT)  -Rujan 2014.-</t>
  </si>
  <si>
    <t>19.01 OSIGURANJE ŽIVOTA ZA SLUČAJ SMRTI I DOŽIVLJENJA (MJEŠOVITO OSIGURANJE)</t>
  </si>
  <si>
    <t>19.02 OSIGURANJE ZA SLUČAJ SMRTI</t>
  </si>
  <si>
    <t>19.03 OSIGURANJE ZA SLUČAJ DOŽIVLJENJA</t>
  </si>
  <si>
    <t>19.04 DOŽIVOTNO OSIGURANJE ZA SLUČAJ SMRTI</t>
  </si>
  <si>
    <t>19.05 OSIGURANJE KRITIČNIH BOLESTI</t>
  </si>
  <si>
    <t>19.99 OSTALA OSIGURANJA ŽIVOTA</t>
  </si>
  <si>
    <t>19 ŽIVOTNO OSIGURANJE</t>
  </si>
  <si>
    <t>20.01 OSIGURANJE OSOBNE DOŽIVOTNE RENTE</t>
  </si>
  <si>
    <t>20.02 OSIGURANJE OSOBNE RENTE S ODREĐENIM TRAJANJEM</t>
  </si>
  <si>
    <t>20.99 OSTALA RENTNA OSIGURANJA</t>
  </si>
  <si>
    <t>20 RENTNO OSIGURANJE</t>
  </si>
  <si>
    <t>21.01 DOPUNSKO OSIGURANJE OD POSLJEDICA NEZGODE UZ OSIGURANJE ŽIVOTA</t>
  </si>
  <si>
    <t>21.02 DOPUNSKO ZDRAVSTVENO OSIGURANJE UZ OSIGURANJE ŽIVOTA</t>
  </si>
  <si>
    <t>21.99 OSTALA DOPUNSKA OSIGURANJA UZ OSIGURANJE ŽIVOTA</t>
  </si>
  <si>
    <t>21 DODATNA OSIGURANJA UZ ŽIVOTNO OSIGURANJE</t>
  </si>
  <si>
    <t>22.01 OSIGURANJE ZA SLUČAJ VJENČANJA ILI ROĐENJA</t>
  </si>
  <si>
    <t>22 OSIGURANJE ZA SLUČAJ VJENČANJA ILI ROĐENJA</t>
  </si>
  <si>
    <t>23.01 OSIG. ŽIVOTA ZA SLUČAJ SMRTI I DOŽIVLJENJA KOD KOJEG OSIGURANIK NA SEBE PREUZIMA INV. RIZIK</t>
  </si>
  <si>
    <t>23.02 OSIGURANJE ZA SLUČAJ SMRTI KOD KOJEG OSIGURANIK NA SEBE PREUZIMA INVESTICIJSKI RIZIK</t>
  </si>
  <si>
    <t>23.03 OSIGURANJE ZA SLUČAJ DOŽIVLJENJA KOD KOJEG OSIGURANIK NA SEBE PREUZIMA INVESTICIJSKI RIZIK</t>
  </si>
  <si>
    <t>23.04 ŽIVOTNO OSIGURANJE KOD KOJEG OSIGURANIK NA SEBE PREUZIMA INVESTICIJSKI RIZIK S GARANCIJOM ISPLATE</t>
  </si>
  <si>
    <t>23.99 OSTALA ŽIVOTNA OSIGURANJA KOD KOJIH OSIGURANIK NA SEBE PREUZIMA INVESTICIJSKI RIZIK</t>
  </si>
  <si>
    <t>23 ŽIVOTNA ILI RENTNA OSIGURANJA KOD KOJIH OSIGURANIK NA SEBE PREUZIMA INVESTICIJSKI RIZIK</t>
  </si>
  <si>
    <t>24.01 TONTINE</t>
  </si>
  <si>
    <t>24 TONTINE</t>
  </si>
  <si>
    <t>25.01 OSIGURANJE S KAPITALIZACIJOM ISPLATE</t>
  </si>
  <si>
    <t>25 OSIGURANJE S KAPITALIZACIJOM ISPLATE</t>
  </si>
  <si>
    <t>ZARAČUNATA BRUTO PPREMIJA I BROJ OSIGURANJA ODABRANIH VRSTA OSIGURANJA / RIZIKA(ŽIVOT) -Rujan 2014.-</t>
  </si>
  <si>
    <t>BROJ I VRIJEDNOST LIKVIDIRANIH ŠTETA ODABRANIH VRSTA OSIGURANJA / RIZIKA -Rujan 2014.-</t>
  </si>
  <si>
    <t>14.01 OSIGURANJE IZVOZNIH POTRAŽIVANJA</t>
  </si>
  <si>
    <t>14.02 OSIGURANJE DRUGIH VRSTA POTRAŽIVANJA</t>
  </si>
  <si>
    <t>14.03 OSIGURANJE STAMBENIH KREDITA</t>
  </si>
  <si>
    <t>14 OSIGURANJE KREDITA</t>
  </si>
  <si>
    <t>15.01 OSIGURANJE JAMSTVA</t>
  </si>
  <si>
    <t>15.02 OSIGURANJE GARANCIJA</t>
  </si>
  <si>
    <t>15 OSIGURANJE JAMSTVA</t>
  </si>
  <si>
    <t>16.01 OSIG. FINANC. GUBITAKA RADI PREKIDA RADA ZBOG POŽARA I NEKIH DRUGIH OPASNOSTI</t>
  </si>
  <si>
    <t>16.02 OSIGURANJE FINANCIJSKIH GUBITAKA RADI PREKIDA RADA ZBOG LOMA STROJEVA</t>
  </si>
  <si>
    <t>16.03 OSIGURANJE RAZNIH PRIREDBI ZBOG ATMOSFERSKIH OBORINA</t>
  </si>
  <si>
    <t>16.04 OSIGURANJE OD ŠTETA ZBOG OTKUPA KRIVOTVORENIH INOZEMNIH SREDSTAVA PLAĆANJA</t>
  </si>
  <si>
    <t>16.05 OSIGURANJE OPASNOSTI OTKAZA TURISTIČKIH PUTOVANJA</t>
  </si>
  <si>
    <t>16.99 OSTALA OSIGURANJA FINANCIJSKIH GUBITAKA</t>
  </si>
  <si>
    <t>16 OSIGURANJE RAZNIH FINANCIJSKIH GUBITAKA</t>
  </si>
  <si>
    <t>17.01 OSIGURANJE TROŠKOVA PRAVNE ZAŠTITE I TROŠKOVA SUDSKOG POSTUPKA</t>
  </si>
  <si>
    <t>17 OSIGURANJE TROŠKOVA PRAVNE ZAŠTITE</t>
  </si>
  <si>
    <t>18.01 TURISTIČKO OSIGURANJE</t>
  </si>
  <si>
    <t>18.03 PUTNO ZDRAVSTVENO OSIGURANJE</t>
  </si>
  <si>
    <t>18.04 OSIGURANJE POMOĆI (ASISTENCIJE) ZA VRIJEME PUTA, IZVAN MJESTA BORAVKA ILI PREBIVALIŠTA</t>
  </si>
  <si>
    <t>18.99 OSTALA OSIGURANJA TURISTIČKIH RIZIKA</t>
  </si>
  <si>
    <t>18 PUTNO OSIGURANJE</t>
  </si>
  <si>
    <t>ZARAČUNATA BRUTO PPREMIJA I BROJ OSIGURANJA ODABRANIH VRSTA OSIGURANJA / RIZIKA  -Rujan 2014.-</t>
  </si>
  <si>
    <t/>
  </si>
  <si>
    <t>BROJ I VRIJEDNOST LIKVIDIRANIH ŠTETA ODABRANIH VRSTA OSIGURANJA / RIZIKA(ODGOVORNOST) -Rujan 2014.-</t>
  </si>
  <si>
    <t>13.01 OSIGURANJE UGOVORNE ODGOVORNOSTI IZVOĐAČA GRAĐEVINSKIH RADOVA</t>
  </si>
  <si>
    <t>13.02 OSIGURANJE UGOVORNE ODGOVORNOSTI IZVOĐAČA MONTAŽNIH RADOVA</t>
  </si>
  <si>
    <t>13.03 OSIGURANJE OD ODGOVORNOSTI PROIZVOĐAČA FILMOVA</t>
  </si>
  <si>
    <t>13.04 OSIGURANJE OD ODGOVORNOSTI PROIZVOĐAČA ZA PROIZVODE</t>
  </si>
  <si>
    <t>13.05 OSIGURANJE OD ODGOVORNOSTI U ŽELJEZNIČKOM PROMETU</t>
  </si>
  <si>
    <t>13.06 OSIGURANJE GARANCIJE PRIZVOĐAČA, PRODAVAČA I DOBAVLJAČA</t>
  </si>
  <si>
    <t>13.07 OSIGURANJE OPĆE ODGOVORNOSTI</t>
  </si>
  <si>
    <t>13.08 OSIGURANJE OD ODG. PROJEKTNIH I DRUGIH DRUŠTAVA ZA ŠTETE NA OBJEKTIMA ZBOG NISPRAVNE TEH. DOK.</t>
  </si>
  <si>
    <t>13.09 OSIGURANJE OD ODGOVORNOSTI PROJEKTNIH I DRUGIH DRUŠTAVA</t>
  </si>
  <si>
    <t>13.10 OSIGURANJE OD ODGOVORNOSTI ODVJETNIKA</t>
  </si>
  <si>
    <t>13.11 OSIGURANJE OD ODGOVORNOSTI JAVNIH BILJEŽNIKA</t>
  </si>
  <si>
    <t>13.12 OSIGURANJE OD ODGOVORNOSTI REVIZORSKIH TVRTKI</t>
  </si>
  <si>
    <t>13.13 OSIGURANJE OD ODGOVORNOSTI ŠPEDITERA</t>
  </si>
  <si>
    <t>13.14 OSIGURANJE OD ODGOVORNOSTI VLASNIKA ODNOSNO KORISNIKA MARINE</t>
  </si>
  <si>
    <t>13.15 OSIGURANJE OD ODGOVORNOSTI BRODOPOPRAVLJAČA</t>
  </si>
  <si>
    <t>13.16 OSIGURANJE OD ODGOVORNOSTI OBAVLJANJA ZAŠTITARSKIH I DETEKTIVSKIH DJELATNOSTI</t>
  </si>
  <si>
    <t>13.17 OSIGURANJE OD ODGOVORNOSTI IZ OBAVLJANJA DJELATNOSTI UPRAVLJANJA NEKRETNINAMA</t>
  </si>
  <si>
    <t>13.18 OSIGURANJE OD ODGOVORNOSTI IZ OBAVLJANJA LIJEČNIČKE, STOMATOLOŠKE I LJEKARNIČKE DJELATNOSTI</t>
  </si>
  <si>
    <t>13.19 OSIGURANJE OD ODGOVORNOSTI STEČAJNIH UPRAVITELJA</t>
  </si>
  <si>
    <t>13.99 OSTALA OSIGURANJA OD ODGOVORNOSTI</t>
  </si>
  <si>
    <t>13 OSTALA OSIGURANJA OD ODGOVORNOSTI</t>
  </si>
  <si>
    <t>ZARAČUNATA BRUTO PPREMIJA I BROJ OSIGURANJA ODABRANIH VRSTA OSIGURANJA / RIZIKA(ODGOVORNOST) -Rujan 2014.-</t>
  </si>
  <si>
    <t>BROJ I VRIJEDNOST LIKVIDIRANIH ŠTETA ODABRANIH VRSTA OSIGURANJA / RIZIKA(IMOVINA) -Rujan 2014.-</t>
  </si>
  <si>
    <t>10.01 OBV. OSIG. VLASNIKA ODNOSNO KORISNIKA MOT. VOZILA OD ODG. ZA ŠTETE TREĆIM OSOBAMA</t>
  </si>
  <si>
    <t>10.02 DRAGOVOLJNO OSIG. VLASNIKA ODNOSNO KORISNIKA MOTORNIH VOZILA OD ODG. ZA ŠTETE TREĆIM OSOBAMA</t>
  </si>
  <si>
    <t>10.03 OSIG. OD ODGOVORNOSTI VOZARA ZA ROBU PRIMLJENU NA PRIJEVOZ U CESTOVNOM PROMETU</t>
  </si>
  <si>
    <t>10.99 OSTALA OSIGURANJA OD AUTOMOBILSKE ODGOVORNOSTI</t>
  </si>
  <si>
    <t>10 OSIGURANJE OD ODGOVORNOSTI ZA UPOTREBU MOTORNIH VOZILA</t>
  </si>
  <si>
    <t>11.01 OBV. OSIG. VLASNIKA ODNOSNO KORISNIKA ZRAČNIH LETJELICA OD ODG. ZA ŠTETE TREĆIM OSOBAMA</t>
  </si>
  <si>
    <t>11.02 OSIG. VLASNIKA ODN. KORIS. ZRAČNIH LETJELICA OD ODG. SVIH VRSTA</t>
  </si>
  <si>
    <t>11 OSIGURANJE OD ODGOVORNOSTI ZA UPOTREBU ZRAČNIH LETJELICA</t>
  </si>
  <si>
    <t>12.01 OSIG. OD ODG. VLASNIKA ODNOSNO KORISNIKA POMORSKIH BRODOVA</t>
  </si>
  <si>
    <t>12.02 OSIG. OD ODG. VLASNIKA ODNOSNO KORISNIKA RIJEČNIH I JEZERSKIH PLOVILA</t>
  </si>
  <si>
    <t>12.03 OBVEZNO OSIG. OD ODG. VLASNIKA ODNOSNO KORISNIKA BRODICA NA MOTORNI POGON ZA ŠTETE TREĆIM OSOBAMA</t>
  </si>
  <si>
    <t>12.99 OSTALA OSIGURANJA OD ODGOVORNOSTI ZA UPOTREBU PLOVILA</t>
  </si>
  <si>
    <t>12 OSIGURANJE OD ODGOVORNOSTI ZA UPOTREBU PLOVILA</t>
  </si>
  <si>
    <t>BROJ I VRIJEDNOST LIKVIDIRANIH ŠTETA ODABRANIH VRSTA OSIGURANJA / RIZIKA(IMOVINA)  -Rujan 2014.-</t>
  </si>
  <si>
    <t>07.01 OSIGURANJE ROBE U POMORSKOM PRIJEVOZU</t>
  </si>
  <si>
    <t>07.02 OSIGURANJE ROBE U AVIONSKOM PRIJEVOZU</t>
  </si>
  <si>
    <t>07.03 OSIGURANJE ROBE U KOPNENOM PRIJEVOZU</t>
  </si>
  <si>
    <t>07.04 OSIGURANJE ROBE ZA VRIJEME USKLADIŠTENJA</t>
  </si>
  <si>
    <t>07.99 OSTALA OSIGURANJA ROBE U PRIJEVOZU</t>
  </si>
  <si>
    <t>07 OSIGURANJE ROBE U PRIJEVOZU</t>
  </si>
  <si>
    <t>08.01 OSIGURANJE OD POŽARA I ELEMENTARNIH NEPOGODA IZVAN INDUSTRIJE I OBRTA</t>
  </si>
  <si>
    <t>08.02 OSIGURANJE OD POŽARA I ELEMENTARNIH NEPOGODA U INDUSTRIJI I OBRTU</t>
  </si>
  <si>
    <t>08.99 OSTALA OSIGURANJA OD POŽARA I ELEMENTARNIH NEPOGODA</t>
  </si>
  <si>
    <t>08 OSIGURANJE OD POŽARA I ELEMENTARNIH ŠTETA</t>
  </si>
  <si>
    <t>09.01 OSIGURANJE STROJEVA OD LOMA</t>
  </si>
  <si>
    <t>09.02 OSIGURANJE OD PROVALNE KRAĐE I RAZBOJSTVA</t>
  </si>
  <si>
    <t>09.03 OSIGURANJE STAKLA OD LOMA</t>
  </si>
  <si>
    <t>09.04 OSIGURANJE KUĆANSTVA</t>
  </si>
  <si>
    <t>09.05 OSIGURANJE GRAĐEVINSKIH OBJEKATA U IZGRADNJI</t>
  </si>
  <si>
    <t>09.06 OSIGURANJE OBJEKATA U MONTAŽI</t>
  </si>
  <si>
    <t>09.07 OSIGURANJE FILMSKE DJELATNOSTI</t>
  </si>
  <si>
    <t>09.08 OSIGURANJE STVARI U RUDARSKIM JAMAMA</t>
  </si>
  <si>
    <t>09.09 OSIGURANJE INFORMATIČKE OPREME</t>
  </si>
  <si>
    <t>09.10 OSIGURANJE ZALIHA U HLADNJAČAMA</t>
  </si>
  <si>
    <t>09.11 OSIGURANJE USJEVA I NASADA</t>
  </si>
  <si>
    <t>09.12 OSIGURANJE ŽIVOTINJA</t>
  </si>
  <si>
    <t>09.99 OSTALA OSIGURANJA IMOVINE</t>
  </si>
  <si>
    <t>09 OSTALA OSIGURANJA IMOVINE</t>
  </si>
  <si>
    <t>ZARAČUNATA BRUTO PPREMIJA I BROJ OSIGURANJA ODABRANIH VRSTA OSIGURANJA / RIZIKA(IMOVINA) -Rujan 2014.-</t>
  </si>
  <si>
    <t>BROJ I VRIJEDNOST LIKVIDIRANIH ŠTETA ODABRANIH VRSTA OSIGURANJA / RIZIKA(KASKO) -Rujan 2014.-</t>
  </si>
  <si>
    <t>03.01 KASKO OSIGURANJE CESTOVNIH MOTORNIH VOZILA NA VLASTITI POGON</t>
  </si>
  <si>
    <t>03.02 KASKO OSIGURANJE CESTOVNIH VOZILA BEZ VLASTITOG POGONA</t>
  </si>
  <si>
    <t>03.99 OSTALA KASKO OSIGURANJA CESTOVNIH VOZILA</t>
  </si>
  <si>
    <t>03 OSIGURANJE CESTOVNIH VOZILA - KASKO</t>
  </si>
  <si>
    <t>04.01 KASKO OSIGURANJE TRAČNIH VOZILA</t>
  </si>
  <si>
    <t>04 OSIGURANJE TRAČNIH VOZILA - KASKO</t>
  </si>
  <si>
    <t>05.01 KASKO OSIGURANJE ZRAČNIH LETJELICA</t>
  </si>
  <si>
    <t>05.02 KASKO OSIGURANJE ZRAČNIH PLOVILA</t>
  </si>
  <si>
    <t>05 OSIGURANJE ZRAČNIH LETJELICA - KASKO</t>
  </si>
  <si>
    <t>06.01 KASKO OSIGURANJE BRODOVA I BRODICA U POMORSKOJ PLOVIDBI</t>
  </si>
  <si>
    <t>06.02 KASKO OSIGURANJE BRODOVA I ČAMACA U RIJEČNOJ PLOVIDBI</t>
  </si>
  <si>
    <t>06.03 KASKO OSIGURANJE BRODOVA I ČAMACA U JEZERSKOJ PLOVIDBI</t>
  </si>
  <si>
    <t>06.04 KASKO OSIGURANJE BRODOVA U IZGRADNJI</t>
  </si>
  <si>
    <t>06.05 KASKO OSIGURANJE PLATFORMI</t>
  </si>
  <si>
    <t>06.99 OSTALA KASKO OSIGURANJA PLOVILA</t>
  </si>
  <si>
    <t>06 OSIGURANJE PLOVILA</t>
  </si>
  <si>
    <t>ZARAČUNATA BRUTO PPREMIJA I BROJ OSIGURANJA ODABRANIH VRSTA OSIGURANJA / RIZIKA(KASKO) -Rujan 2014.-</t>
  </si>
  <si>
    <t>BROJ I VRIJEDNOST LIKVIDIRANIH ŠTETA ODABRANIH VRSTA OSIGURANJA / RIZIKA (NEZGODA I ZDRAVSTVENO)  -Rujan 2014.-</t>
  </si>
  <si>
    <t>01.01 OSIGURANJE OSOBA OD POSLJEDICA NEZGODE PRI I IZVAN REDOVNOG ZANIMANJA</t>
  </si>
  <si>
    <t>01.02 OSIGURANJE OSOBA OD POSLJEDICA NEZGODE U MOTORNIM VOZILIMA I PRI POSEBNIM DJELATNOSTIMA</t>
  </si>
  <si>
    <t>01.03 OSIGURANJE DJECE I ŠKOLSKE MLADEŽI OD POSLJEDICA NEZGODE I POS. OSIG. MLADEŽI OD POSLJEDICA NEZGODE</t>
  </si>
  <si>
    <t>01.04 OSIGURANJE GOSTIJU, POSJETITELJA PRIREDBI, IZLETNIKA I TURISTA OD POSLJEDICA NEZGODE</t>
  </si>
  <si>
    <t>01.05 OSIGURANJE POTOŠAČA, PRETPLATNIKA, KORISNIKA DRUGIH JAVNIH USLUGA I SL. OD POSLJEDICA NEZGODE</t>
  </si>
  <si>
    <t>01.06 OSTALA POSEBNA OSIGURANJA OD POSLJEDICA NEZGODE</t>
  </si>
  <si>
    <t>01.07 OBVEZNO OSIGURANJE PUTNIKA U JAVNOM PRIJEVOZU OD POSLJEDICA NEZGODE</t>
  </si>
  <si>
    <t>01.99 OSTALA OSIGURANJA OD POSLJEDICA NEZGODE</t>
  </si>
  <si>
    <t>01 OSIGURANJE OD NEZGODE</t>
  </si>
  <si>
    <t>02.01 OBVEZNO OSIG. NAKNADE TROŠKOVA ZA SLUČAJ OZLJEDE NA RADU I PROF. BOL.</t>
  </si>
  <si>
    <t>02.02 DOPUNSKO OSIG. RAZLIKE IZNAD VRIJEDNOSTI ZDRAV. USLUGA OBV. ZDR. OS.</t>
  </si>
  <si>
    <t>02.04 DOP. ZDR. OS. VEĆEGA STANDARDA ZDR. USLUGA OD ODREĐENOG ZAKONOM O ZD.O</t>
  </si>
  <si>
    <t>02.06 PRIVATNO ZDRAVSTVENO OSIGURANJE</t>
  </si>
  <si>
    <t>02.99 OSTALA DRAGOVOLJNA ZDRAVSTVENA OSIGURANJA</t>
  </si>
  <si>
    <t>02 ZDRAVSTVENO OSIGURANJE</t>
  </si>
  <si>
    <t>ZARAČUNATA BRUTO PREMIJA I BROJ OSIGURANJA ODABRANIH VRSTA OSIGURANJA / RIZIKA (NEZGODA I ZDRAVSTVENO) -Rujan 2014.-</t>
  </si>
  <si>
    <t>BROJ I VRIJEDNOST LIKVIDIRANIH ŠTETA OBVEZNIH OSIGURANJA U PROMETU  -Rujan 2014.-</t>
  </si>
  <si>
    <t>ZARAČUNATA BRUTO PREMIJA I BROJ OSIGURANJA OBVEZNIH OSIGURANJA U PROMETU -Rujan 2014.-</t>
  </si>
  <si>
    <t>VRIJEDNOST LIKVIDIRANIH ŠTETA PO VRSTAMA OSIGURANJA - Rujan 2014.-</t>
  </si>
  <si>
    <t>14/13</t>
  </si>
  <si>
    <t>UKUPNO (neživotna osiguranja, vrste 01 - 18)</t>
  </si>
  <si>
    <t>UKUPNO (životna osiguranja, vrste 19  - 25)</t>
  </si>
  <si>
    <t>SVEUKUPNO (vrste 01 - 25)</t>
  </si>
  <si>
    <t>BROJ LIKVIDIRANIH ŠTETA PO VRSTAMA OSIGURANJA - Rujan 2014.-</t>
  </si>
  <si>
    <t>BROJ OSIGURANJA PO VRSTAMA OSIGURANJA - Rujan 2014.-</t>
  </si>
  <si>
    <t>ZARAČUNATA BRUTO PREMIJA PO VRSTAMA OSIGURANJA - Rujan 2014.-</t>
  </si>
  <si>
    <t>PREGLED BROJA OSIGURANJA PO DRUŠTVIMA ZA OSIGURANJE - Rujan 2014.-</t>
  </si>
  <si>
    <t>UNIQA OSIGURANJE D.D.*</t>
  </si>
  <si>
    <t>*Podaci uključuju i podatke društva Basler osiguranje Zagreb d.d. koji je s 01.09.2014. pripojen društvu Uniqa osiguranje d.d.</t>
  </si>
  <si>
    <t>PREGLED ZARAČUNATE BRUTO PREMIJE PO DRUŠTVIMA ZA OSIGURANJE -Rujan./2014.-</t>
  </si>
  <si>
    <t>PREGLED OSIGURANJA PO DRUŠTVIMA ZA OSIGURANJE -Rujan./2014.-</t>
  </si>
  <si>
    <t>PREGLED ZARAČUNATE BRUTO PREMIJE PO VRSTAMA OSIGURANJA IX./2014</t>
  </si>
  <si>
    <t>PREGLED BROJA OSIGURANJA PO VRSTAMA OSIGURANJA -Rujan./2014.-</t>
  </si>
  <si>
    <t>PREGLED BROJA LIKVIDIRANIH ŠTETA PO VRSTAMA OSIGURANJA -Rujan./2014.-</t>
  </si>
  <si>
    <t>VRIJEDNOST LIKVIDIRANIH ŠTETA  PO VRSTAMA OSIGURANJA -Rujan./2014.-</t>
  </si>
  <si>
    <t>ZARAČUNATA BRUTO PREMIJA I BROJ OSIGURANJA OBVEZNIH OSIGURANJA U PROMETU -Rujan./2014.-</t>
  </si>
  <si>
    <t>BROJ I VRIJEDNOST LIKVIDIRANIH ŠTETA OBVEZNIH OSIGURANJA U PROMETU -Rujan./2014.-</t>
  </si>
  <si>
    <t>ZARAČUNATA BRUTO PREMIJA I BROJ OSIGURANJA ODABRANIH VRSTA OSIGURANJA / RIZIKA (NEZGODA I ZDRAVSTVENO) -Rujan./2014.-</t>
  </si>
  <si>
    <t>BROJ I VRIJEDNOST LIKVIDIRANIH ŠTETA ODABRANIH VRSTA OSIGURANJA / RIZIKA (NEZGODA I ZDRAVSTVENO) -Rujan./2014.-</t>
  </si>
  <si>
    <t>ZARAČUNATA BRUTO PPREMIJA I BROJ OSIGURANJA ODABRANIH VRSTA OSIGURANJA / RIZIKA(KASKO) -Rujan./2014.-</t>
  </si>
  <si>
    <t>BROJ I VRIJEDNOST LIKVIDIRANIH ŠTETA ODABRANIH VRSTA OSIGURANJA / RIZIKA(KASKO) -Rujan./2014.-</t>
  </si>
  <si>
    <t>ZARAČUNATA BRUTO PPREMIJA I BROJ OSIGURANJA ODABRANIH VRSTA OSIGURANJA / RIZIKA(IMOVINA) -Rujan./2014.-</t>
  </si>
  <si>
    <t>BROJ I VRIJEDNOST LIKVIDIRANIH ŠTETA ODABRANIH VRSTA OSIGURANJA / RIZIKA(IMOVINA) -Rujan./2014.-</t>
  </si>
  <si>
    <t>ZARAČUNATA BRUTO PPREMIJA I BROJ OSIGURANJA ODABRANIH VRSTA OSIGURANJA / RIZIKA(ODGOVORNOST) -Rujan./2014.-</t>
  </si>
  <si>
    <t>BROJ I VRIJEDNOST LIKVIDIRANIH ŠTETA ODABRANIH VRSTA OSIGURANJA / RIZIKA(ODGOVORNOST) -Rujan./2014.-</t>
  </si>
  <si>
    <t>ZARAČUNATA BRUTO PPREMIJA I BROJ OSIGURANJA ODABRANIH VRSTA OSIGURANJA / RIZIKA -Rujan./2014.-</t>
  </si>
  <si>
    <t>BROJ I VRIJEDNOST LIKVIDIRANIH ŠTETA ODABRANIH VRSTA OSIGURANJA / RIZIKA -Rujan./2014.-</t>
  </si>
  <si>
    <t>ZARAČUNATA BRUTO PPREMIJA I BROJ OSIGURANJA ODABRANIH VRSTA OSIGURANJA / RIZIKA(ŽIVOT) -Rujan./2014.-</t>
  </si>
  <si>
    <t>BROJ I VRIJEDNOST LIKVIDIRANIH ŠTETA ODABRANIH VRSTA OSIGURANJA / RIZIKA(ŽIVOT) -Rujan./2014.-</t>
  </si>
  <si>
    <t>Zagreb, 13.10.2014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</si>
</sst>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n_-;\-* #,##0.00\ _k_n_-;_-* &quot;-&quot;??\ _k_n_-;_-@_-"/>
    <numFmt numFmtId="164" formatCode="m\o\n\th\ d\,\ yyyy"/>
    <numFmt numFmtId="165" formatCode="#,#00"/>
    <numFmt numFmtId="166" formatCode="#,"/>
    <numFmt numFmtId="167" formatCode="_-* #,##0\ _k_n_-;\-* #,##0\ _k_n_-;_-* &quot;-&quot;??\ _k_n_-;_-@_-"/>
    <numFmt numFmtId="168" formatCode="_-* #,##0.0\ _k_n_-;\-* #,##0.0\ _k_n_-;_-* &quot;-&quot;??\ _k_n_-;_-@_-"/>
    <numFmt numFmtId="169" formatCode="0_ ;\-0\ "/>
    <numFmt numFmtId="170" formatCode="_-* #,##0.0000\ _k_n_-;\-* #,##0.0000\ _k_n_-;_-* &quot;-&quot;??\ _k_n_-;_-@_-"/>
    <numFmt numFmtId="171" formatCode="_-* #,##0.0\ _k_n_-;\-* #,##0.0\ _k_n_-;_-* &quot;-&quot;?\ _k_n_-;_-@_-"/>
    <numFmt numFmtId="172" formatCode="#,##0.00_ ;\-#,##0.00\ "/>
    <numFmt numFmtId="173" formatCode="#,##0_ ;\-#,##0\ "/>
    <numFmt numFmtId="174" formatCode="#,##0.0_ ;\-#,##0.0\ "/>
    <numFmt numFmtId="175" formatCode="#,##0.0"/>
    <numFmt numFmtId="176" formatCode="_(* #,##0.00_);_(* \(#,##0.00\);_(* &quot;-&quot;??_);_(@_)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9"/>
      <color theme="1" tint="0.34998626667073579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 tint="0.3499862666707357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21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9.5"/>
      <color theme="1" tint="0.249977111117893"/>
      <name val="Calibri"/>
      <family val="2"/>
      <charset val="238"/>
      <scheme val="minor"/>
    </font>
    <font>
      <b/>
      <sz val="9.5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.5"/>
      <color theme="1" tint="0.3499862666707357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gradientFill degree="90">
        <stop position="0">
          <color theme="8" tint="-0.49803155613879818"/>
        </stop>
        <stop position="1">
          <color theme="4" tint="0.40000610370189521"/>
        </stop>
      </gradientFill>
    </fill>
    <fill>
      <gradientFill degree="90">
        <stop position="0">
          <color theme="4" tint="0.40000610370189521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4" tint="0.40000610370189521"/>
        </stop>
        <stop position="1">
          <color theme="4" tint="-0.49803155613879818"/>
        </stop>
      </gradient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8" tint="-0.499984740745262"/>
      </right>
      <top/>
      <bottom/>
      <diagonal/>
    </border>
    <border>
      <left/>
      <right/>
      <top style="thick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medium">
        <color theme="8" tint="-0.24994659260841701"/>
      </top>
      <bottom style="dotted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/>
      <right/>
      <top style="dotted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15">
    <xf numFmtId="0" fontId="0" fillId="0" borderId="0"/>
    <xf numFmtId="0" fontId="1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4" fillId="0" borderId="0">
      <alignment vertical="top"/>
    </xf>
    <xf numFmtId="0" fontId="21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6" fontId="2" fillId="0" borderId="49">
      <protection locked="0"/>
    </xf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6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49" fontId="14" fillId="5" borderId="0" xfId="11" applyNumberFormat="1" applyFont="1" applyFill="1" applyBorder="1" applyAlignment="1">
      <alignment horizontal="center" vertical="center" wrapText="1"/>
    </xf>
    <xf numFmtId="49" fontId="14" fillId="4" borderId="0" xfId="11" applyNumberFormat="1" applyFont="1" applyFill="1" applyBorder="1" applyAlignment="1">
      <alignment horizontal="center" vertical="center" wrapText="1"/>
    </xf>
    <xf numFmtId="49" fontId="13" fillId="4" borderId="0" xfId="11" applyNumberFormat="1" applyFont="1" applyFill="1" applyBorder="1" applyAlignment="1">
      <alignment horizontal="center" vertical="center" wrapText="1"/>
    </xf>
    <xf numFmtId="49" fontId="13" fillId="5" borderId="0" xfId="11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3" fontId="11" fillId="0" borderId="14" xfId="10" applyNumberFormat="1" applyFont="1" applyBorder="1" applyAlignment="1">
      <alignment vertical="center"/>
    </xf>
    <xf numFmtId="43" fontId="11" fillId="0" borderId="14" xfId="10" applyFont="1" applyBorder="1" applyAlignment="1">
      <alignment vertical="center"/>
    </xf>
    <xf numFmtId="167" fontId="11" fillId="0" borderId="14" xfId="10" applyNumberFormat="1" applyFont="1" applyBorder="1" applyAlignment="1">
      <alignment horizontal="right" vertical="center"/>
    </xf>
    <xf numFmtId="0" fontId="16" fillId="6" borderId="0" xfId="0" applyFont="1" applyFill="1" applyAlignment="1">
      <alignment horizontal="left" vertical="center"/>
    </xf>
    <xf numFmtId="43" fontId="16" fillId="6" borderId="0" xfId="10" applyNumberFormat="1" applyFont="1" applyFill="1" applyAlignment="1">
      <alignment vertical="center"/>
    </xf>
    <xf numFmtId="167" fontId="16" fillId="6" borderId="0" xfId="1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167" fontId="8" fillId="4" borderId="6" xfId="1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left" vertical="center"/>
    </xf>
    <xf numFmtId="168" fontId="8" fillId="0" borderId="12" xfId="10" applyNumberFormat="1" applyFont="1" applyFill="1" applyBorder="1" applyAlignment="1">
      <alignment horizontal="center" vertical="center" wrapText="1"/>
    </xf>
    <xf numFmtId="168" fontId="11" fillId="0" borderId="14" xfId="10" applyNumberFormat="1" applyFont="1" applyBorder="1" applyAlignment="1">
      <alignment horizontal="right" vertical="center"/>
    </xf>
    <xf numFmtId="168" fontId="8" fillId="0" borderId="13" xfId="1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3" fontId="11" fillId="0" borderId="19" xfId="10" applyNumberFormat="1" applyFont="1" applyBorder="1" applyAlignment="1">
      <alignment vertical="center"/>
    </xf>
    <xf numFmtId="43" fontId="11" fillId="0" borderId="19" xfId="10" applyFont="1" applyBorder="1" applyAlignment="1">
      <alignment vertical="center"/>
    </xf>
    <xf numFmtId="167" fontId="11" fillId="0" borderId="19" xfId="10" applyNumberFormat="1" applyFont="1" applyBorder="1" applyAlignment="1">
      <alignment horizontal="right" vertical="center"/>
    </xf>
    <xf numFmtId="43" fontId="11" fillId="0" borderId="20" xfId="1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3" fontId="15" fillId="0" borderId="0" xfId="10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43" fontId="11" fillId="0" borderId="22" xfId="10" applyNumberFormat="1" applyFont="1" applyBorder="1" applyAlignment="1">
      <alignment vertical="center"/>
    </xf>
    <xf numFmtId="167" fontId="11" fillId="0" borderId="22" xfId="10" applyNumberFormat="1" applyFont="1" applyBorder="1" applyAlignment="1">
      <alignment horizontal="right" vertical="center"/>
    </xf>
    <xf numFmtId="167" fontId="11" fillId="0" borderId="23" xfId="10" applyNumberFormat="1" applyFont="1" applyBorder="1" applyAlignment="1">
      <alignment horizontal="left" vertical="center"/>
    </xf>
    <xf numFmtId="167" fontId="11" fillId="0" borderId="18" xfId="10" applyNumberFormat="1" applyFont="1" applyBorder="1" applyAlignment="1">
      <alignment horizontal="left" vertical="center"/>
    </xf>
    <xf numFmtId="167" fontId="11" fillId="0" borderId="21" xfId="10" applyNumberFormat="1" applyFont="1" applyBorder="1" applyAlignment="1">
      <alignment horizontal="left" vertical="center"/>
    </xf>
    <xf numFmtId="168" fontId="11" fillId="0" borderId="25" xfId="10" applyNumberFormat="1" applyFont="1" applyBorder="1" applyAlignment="1">
      <alignment horizontal="right" vertical="center"/>
    </xf>
    <xf numFmtId="168" fontId="11" fillId="0" borderId="27" xfId="10" applyNumberFormat="1" applyFont="1" applyBorder="1" applyAlignment="1">
      <alignment horizontal="right" vertical="center"/>
    </xf>
    <xf numFmtId="0" fontId="10" fillId="0" borderId="0" xfId="0" applyFont="1" applyAlignment="1"/>
    <xf numFmtId="43" fontId="8" fillId="0" borderId="12" xfId="10" applyFont="1" applyFill="1" applyBorder="1" applyAlignment="1">
      <alignment horizontal="center" vertical="center" wrapText="1"/>
    </xf>
    <xf numFmtId="43" fontId="11" fillId="0" borderId="14" xfId="10" applyFont="1" applyBorder="1" applyAlignment="1">
      <alignment horizontal="right" vertical="center"/>
    </xf>
    <xf numFmtId="43" fontId="16" fillId="9" borderId="0" xfId="10" applyFont="1" applyFill="1" applyAlignment="1">
      <alignment horizontal="right" vertical="center"/>
    </xf>
    <xf numFmtId="43" fontId="11" fillId="0" borderId="22" xfId="10" applyFont="1" applyBorder="1" applyAlignment="1">
      <alignment horizontal="right" vertical="center"/>
    </xf>
    <xf numFmtId="170" fontId="8" fillId="0" borderId="12" xfId="10" applyNumberFormat="1" applyFont="1" applyFill="1" applyBorder="1" applyAlignment="1">
      <alignment horizontal="center" vertical="center" wrapText="1"/>
    </xf>
    <xf numFmtId="170" fontId="16" fillId="9" borderId="0" xfId="10" applyNumberFormat="1" applyFont="1" applyFill="1" applyAlignment="1">
      <alignment horizontal="right" vertical="center"/>
    </xf>
    <xf numFmtId="43" fontId="11" fillId="0" borderId="14" xfId="10" applyNumberFormat="1" applyFont="1" applyBorder="1" applyAlignment="1">
      <alignment horizontal="right" vertical="center"/>
    </xf>
    <xf numFmtId="169" fontId="8" fillId="0" borderId="0" xfId="10" applyNumberFormat="1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8" fontId="10" fillId="0" borderId="0" xfId="10" applyNumberFormat="1" applyFont="1" applyAlignment="1">
      <alignment horizontal="center" vertical="center" wrapText="1"/>
    </xf>
    <xf numFmtId="43" fontId="10" fillId="0" borderId="0" xfId="10" applyFont="1" applyAlignment="1">
      <alignment horizontal="center" vertical="center" wrapText="1"/>
    </xf>
    <xf numFmtId="170" fontId="10" fillId="0" borderId="0" xfId="10" applyNumberFormat="1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7" fontId="10" fillId="0" borderId="0" xfId="10" applyNumberFormat="1" applyFont="1" applyAlignment="1">
      <alignment vertical="center"/>
    </xf>
    <xf numFmtId="168" fontId="10" fillId="0" borderId="0" xfId="10" applyNumberFormat="1" applyFont="1" applyAlignment="1">
      <alignment vertical="center"/>
    </xf>
    <xf numFmtId="167" fontId="0" fillId="0" borderId="0" xfId="10" applyNumberFormat="1" applyFont="1" applyAlignment="1">
      <alignment vertical="center"/>
    </xf>
    <xf numFmtId="168" fontId="0" fillId="0" borderId="0" xfId="10" applyNumberFormat="1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23" fillId="0" borderId="35" xfId="10" applyFont="1" applyBorder="1" applyAlignment="1">
      <alignment horizontal="left" vertical="center"/>
    </xf>
    <xf numFmtId="43" fontId="10" fillId="0" borderId="0" xfId="1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8" fontId="11" fillId="0" borderId="0" xfId="10" applyNumberFormat="1" applyFont="1" applyAlignment="1">
      <alignment horizontal="center" vertical="center" wrapText="1"/>
    </xf>
    <xf numFmtId="168" fontId="10" fillId="0" borderId="0" xfId="10" applyNumberFormat="1" applyFont="1" applyAlignment="1">
      <alignment horizontal="left" vertical="center"/>
    </xf>
    <xf numFmtId="170" fontId="10" fillId="0" borderId="0" xfId="10" applyNumberFormat="1" applyFont="1" applyAlignment="1">
      <alignment vertical="center"/>
    </xf>
    <xf numFmtId="43" fontId="11" fillId="0" borderId="0" xfId="10" applyFont="1" applyAlignment="1">
      <alignment horizontal="center" vertical="center" wrapText="1"/>
    </xf>
    <xf numFmtId="170" fontId="11" fillId="0" borderId="0" xfId="1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3" fontId="11" fillId="0" borderId="0" xfId="10" applyFont="1" applyAlignment="1">
      <alignment horizontal="left" vertical="center"/>
    </xf>
    <xf numFmtId="170" fontId="11" fillId="0" borderId="0" xfId="10" applyNumberFormat="1" applyFont="1" applyAlignment="1">
      <alignment horizontal="left" vertical="center"/>
    </xf>
    <xf numFmtId="43" fontId="11" fillId="0" borderId="0" xfId="10" applyFont="1" applyAlignment="1">
      <alignment vertical="center"/>
    </xf>
    <xf numFmtId="43" fontId="10" fillId="0" borderId="0" xfId="10" applyFont="1" applyAlignment="1">
      <alignment horizontal="left" vertical="center"/>
    </xf>
    <xf numFmtId="170" fontId="10" fillId="0" borderId="0" xfId="10" applyNumberFormat="1" applyFont="1" applyAlignment="1">
      <alignment horizontal="left" vertical="center"/>
    </xf>
    <xf numFmtId="168" fontId="11" fillId="0" borderId="0" xfId="10" applyNumberFormat="1" applyFont="1" applyAlignment="1">
      <alignment horizontal="left" vertical="center"/>
    </xf>
    <xf numFmtId="167" fontId="15" fillId="0" borderId="0" xfId="10" applyNumberFormat="1" applyFont="1" applyBorder="1" applyAlignment="1">
      <alignment horizontal="left" vertical="center"/>
    </xf>
    <xf numFmtId="43" fontId="23" fillId="0" borderId="37" xfId="10" applyFont="1" applyBorder="1" applyAlignment="1">
      <alignment horizontal="left" vertical="center"/>
    </xf>
    <xf numFmtId="43" fontId="23" fillId="0" borderId="36" xfId="10" applyFont="1" applyBorder="1" applyAlignment="1">
      <alignment horizontal="left" vertical="center"/>
    </xf>
    <xf numFmtId="0" fontId="16" fillId="12" borderId="38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8" fontId="8" fillId="0" borderId="0" xfId="10" applyNumberFormat="1" applyFont="1" applyFill="1" applyBorder="1" applyAlignment="1">
      <alignment horizontal="center" vertical="center" wrapText="1"/>
    </xf>
    <xf numFmtId="167" fontId="8" fillId="0" borderId="0" xfId="1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7" fontId="24" fillId="0" borderId="0" xfId="1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5" fillId="12" borderId="0" xfId="0" applyFont="1" applyFill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169" fontId="8" fillId="4" borderId="6" xfId="1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1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1" fillId="0" borderId="0" xfId="12" applyFont="1" applyAlignment="1">
      <alignment horizontal="center"/>
    </xf>
    <xf numFmtId="0" fontId="15" fillId="13" borderId="15" xfId="0" applyFont="1" applyFill="1" applyBorder="1" applyAlignment="1">
      <alignment horizontal="left" vertical="center" wrapText="1"/>
    </xf>
    <xf numFmtId="171" fontId="11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2" fontId="11" fillId="0" borderId="14" xfId="10" applyNumberFormat="1" applyFont="1" applyBorder="1" applyAlignment="1">
      <alignment vertical="center"/>
    </xf>
    <xf numFmtId="173" fontId="24" fillId="0" borderId="39" xfId="10" applyNumberFormat="1" applyFont="1" applyBorder="1" applyAlignment="1">
      <alignment horizontal="right" vertical="center"/>
    </xf>
    <xf numFmtId="173" fontId="24" fillId="0" borderId="41" xfId="10" applyNumberFormat="1" applyFont="1" applyBorder="1" applyAlignment="1">
      <alignment horizontal="right" vertical="center"/>
    </xf>
    <xf numFmtId="173" fontId="24" fillId="0" borderId="31" xfId="10" applyNumberFormat="1" applyFont="1" applyBorder="1" applyAlignment="1">
      <alignment horizontal="right" vertical="center"/>
    </xf>
    <xf numFmtId="173" fontId="25" fillId="12" borderId="0" xfId="10" applyNumberFormat="1" applyFont="1" applyFill="1" applyAlignment="1">
      <alignment horizontal="right" vertical="center"/>
    </xf>
    <xf numFmtId="173" fontId="24" fillId="0" borderId="40" xfId="10" applyNumberFormat="1" applyFont="1" applyBorder="1" applyAlignment="1">
      <alignment horizontal="right" vertical="center"/>
    </xf>
    <xf numFmtId="172" fontId="24" fillId="0" borderId="40" xfId="10" applyNumberFormat="1" applyFont="1" applyBorder="1" applyAlignment="1">
      <alignment horizontal="right" vertical="center"/>
    </xf>
    <xf numFmtId="172" fontId="24" fillId="0" borderId="30" xfId="10" applyNumberFormat="1" applyFont="1" applyBorder="1" applyAlignment="1">
      <alignment horizontal="right" vertical="center"/>
    </xf>
    <xf numFmtId="172" fontId="24" fillId="0" borderId="31" xfId="10" applyNumberFormat="1" applyFont="1" applyBorder="1" applyAlignment="1">
      <alignment horizontal="right" vertical="center"/>
    </xf>
    <xf numFmtId="172" fontId="24" fillId="0" borderId="28" xfId="10" applyNumberFormat="1" applyFont="1" applyBorder="1" applyAlignment="1">
      <alignment horizontal="right" vertical="center"/>
    </xf>
    <xf numFmtId="172" fontId="24" fillId="0" borderId="0" xfId="10" applyNumberFormat="1" applyFont="1" applyBorder="1" applyAlignment="1">
      <alignment horizontal="right" vertical="center"/>
    </xf>
    <xf numFmtId="172" fontId="25" fillId="12" borderId="0" xfId="10" applyNumberFormat="1" applyFont="1" applyFill="1" applyAlignment="1">
      <alignment horizontal="right" vertical="center"/>
    </xf>
    <xf numFmtId="174" fontId="24" fillId="0" borderId="40" xfId="10" applyNumberFormat="1" applyFont="1" applyBorder="1" applyAlignment="1">
      <alignment horizontal="right" vertical="center"/>
    </xf>
    <xf numFmtId="174" fontId="24" fillId="0" borderId="31" xfId="10" applyNumberFormat="1" applyFont="1" applyBorder="1" applyAlignment="1">
      <alignment horizontal="right" vertical="center"/>
    </xf>
    <xf numFmtId="174" fontId="24" fillId="0" borderId="0" xfId="10" applyNumberFormat="1" applyFont="1" applyBorder="1" applyAlignment="1">
      <alignment horizontal="right" vertical="center"/>
    </xf>
    <xf numFmtId="174" fontId="25" fillId="12" borderId="0" xfId="10" applyNumberFormat="1" applyFont="1" applyFill="1" applyAlignment="1">
      <alignment horizontal="right" vertical="center"/>
    </xf>
    <xf numFmtId="173" fontId="24" fillId="0" borderId="0" xfId="10" applyNumberFormat="1" applyFont="1" applyBorder="1" applyAlignment="1">
      <alignment horizontal="right" vertical="center"/>
    </xf>
    <xf numFmtId="3" fontId="30" fillId="0" borderId="31" xfId="10" applyNumberFormat="1" applyFont="1" applyBorder="1" applyAlignment="1">
      <alignment vertical="center"/>
    </xf>
    <xf numFmtId="3" fontId="30" fillId="0" borderId="0" xfId="10" applyNumberFormat="1" applyFont="1" applyBorder="1" applyAlignment="1">
      <alignment vertical="center"/>
    </xf>
    <xf numFmtId="3" fontId="25" fillId="12" borderId="0" xfId="10" applyNumberFormat="1" applyFont="1" applyFill="1" applyAlignment="1">
      <alignment vertical="center"/>
    </xf>
    <xf numFmtId="3" fontId="30" fillId="0" borderId="33" xfId="10" applyNumberFormat="1" applyFont="1" applyBorder="1" applyAlignment="1">
      <alignment vertical="center"/>
    </xf>
    <xf numFmtId="174" fontId="30" fillId="0" borderId="33" xfId="10" applyNumberFormat="1" applyFont="1" applyBorder="1" applyAlignment="1">
      <alignment horizontal="right" vertical="center"/>
    </xf>
    <xf numFmtId="174" fontId="30" fillId="0" borderId="31" xfId="10" applyNumberFormat="1" applyFont="1" applyBorder="1" applyAlignment="1">
      <alignment horizontal="right" vertical="center"/>
    </xf>
    <xf numFmtId="174" fontId="30" fillId="0" borderId="0" xfId="10" applyNumberFormat="1" applyFont="1" applyBorder="1" applyAlignment="1">
      <alignment horizontal="right" vertical="center"/>
    </xf>
    <xf numFmtId="172" fontId="30" fillId="0" borderId="33" xfId="10" applyNumberFormat="1" applyFont="1" applyBorder="1" applyAlignment="1">
      <alignment horizontal="right" vertical="center"/>
    </xf>
    <xf numFmtId="172" fontId="30" fillId="0" borderId="34" xfId="10" applyNumberFormat="1" applyFont="1" applyBorder="1" applyAlignment="1">
      <alignment horizontal="right" vertical="center"/>
    </xf>
    <xf numFmtId="172" fontId="30" fillId="0" borderId="31" xfId="10" applyNumberFormat="1" applyFont="1" applyBorder="1" applyAlignment="1">
      <alignment horizontal="right" vertical="center"/>
    </xf>
    <xf numFmtId="172" fontId="30" fillId="0" borderId="28" xfId="10" applyNumberFormat="1" applyFont="1" applyBorder="1" applyAlignment="1">
      <alignment horizontal="right" vertical="center"/>
    </xf>
    <xf numFmtId="172" fontId="30" fillId="0" borderId="0" xfId="10" applyNumberFormat="1" applyFont="1" applyBorder="1" applyAlignment="1">
      <alignment horizontal="right" vertical="center"/>
    </xf>
    <xf numFmtId="172" fontId="30" fillId="0" borderId="33" xfId="0" applyNumberFormat="1" applyFont="1" applyBorder="1" applyAlignment="1">
      <alignment horizontal="right" vertical="center"/>
    </xf>
    <xf numFmtId="172" fontId="30" fillId="0" borderId="31" xfId="0" applyNumberFormat="1" applyFont="1" applyBorder="1" applyAlignment="1">
      <alignment horizontal="right" vertical="center"/>
    </xf>
    <xf numFmtId="172" fontId="30" fillId="0" borderId="0" xfId="0" applyNumberFormat="1" applyFont="1" applyBorder="1" applyAlignment="1">
      <alignment horizontal="right" vertical="center"/>
    </xf>
    <xf numFmtId="172" fontId="25" fillId="12" borderId="0" xfId="0" applyNumberFormat="1" applyFont="1" applyFill="1" applyAlignment="1">
      <alignment horizontal="right" vertical="center"/>
    </xf>
    <xf numFmtId="173" fontId="10" fillId="0" borderId="35" xfId="10" applyNumberFormat="1" applyFont="1" applyBorder="1" applyAlignment="1">
      <alignment vertical="center"/>
    </xf>
    <xf numFmtId="3" fontId="10" fillId="0" borderId="35" xfId="10" applyNumberFormat="1" applyFont="1" applyBorder="1" applyAlignment="1">
      <alignment vertical="center"/>
    </xf>
    <xf numFmtId="3" fontId="10" fillId="0" borderId="37" xfId="10" applyNumberFormat="1" applyFont="1" applyBorder="1" applyAlignment="1">
      <alignment vertical="center"/>
    </xf>
    <xf numFmtId="3" fontId="10" fillId="0" borderId="36" xfId="10" applyNumberFormat="1" applyFont="1" applyBorder="1" applyAlignment="1">
      <alignment vertical="center"/>
    </xf>
    <xf numFmtId="3" fontId="10" fillId="0" borderId="35" xfId="10" applyNumberFormat="1" applyFont="1" applyBorder="1" applyAlignment="1">
      <alignment horizontal="right" vertical="center"/>
    </xf>
    <xf numFmtId="3" fontId="10" fillId="0" borderId="37" xfId="10" applyNumberFormat="1" applyFont="1" applyBorder="1" applyAlignment="1">
      <alignment horizontal="right" vertical="center"/>
    </xf>
    <xf numFmtId="3" fontId="10" fillId="0" borderId="36" xfId="10" applyNumberFormat="1" applyFont="1" applyBorder="1" applyAlignment="1">
      <alignment horizontal="right" vertical="center"/>
    </xf>
    <xf numFmtId="3" fontId="16" fillId="12" borderId="0" xfId="10" applyNumberFormat="1" applyFont="1" applyFill="1" applyAlignment="1">
      <alignment horizontal="right" vertical="center"/>
    </xf>
    <xf numFmtId="3" fontId="16" fillId="12" borderId="38" xfId="10" applyNumberFormat="1" applyFont="1" applyFill="1" applyBorder="1" applyAlignment="1">
      <alignment horizontal="right" vertical="center"/>
    </xf>
    <xf numFmtId="172" fontId="10" fillId="0" borderId="35" xfId="10" applyNumberFormat="1" applyFont="1" applyBorder="1" applyAlignment="1">
      <alignment vertical="center"/>
    </xf>
    <xf numFmtId="172" fontId="10" fillId="0" borderId="37" xfId="10" applyNumberFormat="1" applyFont="1" applyBorder="1" applyAlignment="1">
      <alignment vertical="center"/>
    </xf>
    <xf numFmtId="172" fontId="10" fillId="0" borderId="36" xfId="10" applyNumberFormat="1" applyFont="1" applyBorder="1" applyAlignment="1">
      <alignment vertical="center"/>
    </xf>
    <xf numFmtId="172" fontId="10" fillId="0" borderId="35" xfId="10" applyNumberFormat="1" applyFont="1" applyBorder="1" applyAlignment="1">
      <alignment horizontal="right" vertical="center"/>
    </xf>
    <xf numFmtId="172" fontId="10" fillId="0" borderId="37" xfId="10" applyNumberFormat="1" applyFont="1" applyBorder="1" applyAlignment="1">
      <alignment horizontal="right" vertical="center"/>
    </xf>
    <xf numFmtId="172" fontId="10" fillId="0" borderId="36" xfId="10" applyNumberFormat="1" applyFont="1" applyBorder="1" applyAlignment="1">
      <alignment horizontal="right" vertical="center"/>
    </xf>
    <xf numFmtId="172" fontId="16" fillId="12" borderId="0" xfId="10" applyNumberFormat="1" applyFont="1" applyFill="1" applyAlignment="1">
      <alignment horizontal="right" vertical="center"/>
    </xf>
    <xf numFmtId="172" fontId="16" fillId="12" borderId="38" xfId="10" applyNumberFormat="1" applyFont="1" applyFill="1" applyBorder="1" applyAlignment="1">
      <alignment horizontal="right" vertical="center"/>
    </xf>
    <xf numFmtId="174" fontId="10" fillId="0" borderId="35" xfId="10" applyNumberFormat="1" applyFont="1" applyBorder="1" applyAlignment="1">
      <alignment horizontal="right" vertical="center"/>
    </xf>
    <xf numFmtId="174" fontId="10" fillId="0" borderId="37" xfId="10" applyNumberFormat="1" applyFont="1" applyBorder="1" applyAlignment="1">
      <alignment horizontal="right" vertical="center"/>
    </xf>
    <xf numFmtId="174" fontId="10" fillId="0" borderId="36" xfId="10" applyNumberFormat="1" applyFont="1" applyBorder="1" applyAlignment="1">
      <alignment horizontal="right" vertical="center"/>
    </xf>
    <xf numFmtId="174" fontId="16" fillId="12" borderId="0" xfId="10" applyNumberFormat="1" applyFont="1" applyFill="1" applyAlignment="1">
      <alignment horizontal="right" vertical="center"/>
    </xf>
    <xf numFmtId="174" fontId="16" fillId="12" borderId="38" xfId="10" applyNumberFormat="1" applyFont="1" applyFill="1" applyBorder="1" applyAlignment="1">
      <alignment horizontal="right" vertical="center"/>
    </xf>
    <xf numFmtId="173" fontId="10" fillId="0" borderId="35" xfId="10" applyNumberFormat="1" applyFont="1" applyBorder="1" applyAlignment="1">
      <alignment horizontal="right" vertical="center"/>
    </xf>
    <xf numFmtId="173" fontId="16" fillId="12" borderId="0" xfId="10" applyNumberFormat="1" applyFont="1" applyFill="1" applyAlignment="1">
      <alignment horizontal="right" vertical="center"/>
    </xf>
    <xf numFmtId="173" fontId="16" fillId="12" borderId="38" xfId="10" applyNumberFormat="1" applyFont="1" applyFill="1" applyBorder="1" applyAlignment="1">
      <alignment horizontal="right" vertical="center"/>
    </xf>
    <xf numFmtId="173" fontId="10" fillId="0" borderId="43" xfId="10" applyNumberFormat="1" applyFont="1" applyBorder="1" applyAlignment="1">
      <alignment horizontal="right" vertical="center"/>
    </xf>
    <xf numFmtId="173" fontId="10" fillId="0" borderId="42" xfId="10" applyNumberFormat="1" applyFont="1" applyBorder="1" applyAlignment="1">
      <alignment horizontal="right" vertical="center"/>
    </xf>
    <xf numFmtId="1" fontId="10" fillId="0" borderId="35" xfId="10" applyNumberFormat="1" applyFont="1" applyBorder="1" applyAlignment="1">
      <alignment horizontal="right" vertical="center"/>
    </xf>
    <xf numFmtId="173" fontId="10" fillId="0" borderId="37" xfId="10" applyNumberFormat="1" applyFont="1" applyBorder="1" applyAlignment="1">
      <alignment horizontal="right" vertical="center"/>
    </xf>
    <xf numFmtId="173" fontId="10" fillId="0" borderId="36" xfId="10" applyNumberFormat="1" applyFont="1" applyBorder="1" applyAlignment="1">
      <alignment horizontal="right" vertical="center"/>
    </xf>
    <xf numFmtId="173" fontId="10" fillId="0" borderId="14" xfId="10" applyNumberFormat="1" applyFont="1" applyBorder="1" applyAlignment="1">
      <alignment horizontal="right" vertical="center"/>
    </xf>
    <xf numFmtId="173" fontId="10" fillId="0" borderId="0" xfId="10" applyNumberFormat="1" applyFont="1" applyAlignment="1">
      <alignment horizontal="right" vertical="center"/>
    </xf>
    <xf numFmtId="173" fontId="7" fillId="6" borderId="0" xfId="10" applyNumberFormat="1" applyFont="1" applyFill="1" applyAlignment="1">
      <alignment horizontal="right" vertical="center"/>
    </xf>
    <xf numFmtId="172" fontId="10" fillId="0" borderId="14" xfId="10" applyNumberFormat="1" applyFont="1" applyBorder="1" applyAlignment="1">
      <alignment horizontal="right" vertical="center"/>
    </xf>
    <xf numFmtId="172" fontId="7" fillId="7" borderId="14" xfId="10" applyNumberFormat="1" applyFont="1" applyFill="1" applyBorder="1" applyAlignment="1">
      <alignment horizontal="right" vertical="center"/>
    </xf>
    <xf numFmtId="172" fontId="10" fillId="0" borderId="14" xfId="10" applyNumberFormat="1" applyFont="1" applyBorder="1" applyAlignment="1">
      <alignment vertical="center"/>
    </xf>
    <xf numFmtId="172" fontId="7" fillId="7" borderId="14" xfId="10" applyNumberFormat="1" applyFont="1" applyFill="1" applyBorder="1" applyAlignment="1">
      <alignment vertical="center"/>
    </xf>
    <xf numFmtId="174" fontId="10" fillId="0" borderId="14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174" fontId="7" fillId="6" borderId="0" xfId="0" applyNumberFormat="1" applyFont="1" applyFill="1" applyAlignment="1">
      <alignment horizontal="right" vertical="center"/>
    </xf>
    <xf numFmtId="174" fontId="10" fillId="0" borderId="14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center"/>
    </xf>
    <xf numFmtId="174" fontId="7" fillId="6" borderId="0" xfId="0" applyNumberFormat="1" applyFont="1" applyFill="1" applyAlignment="1">
      <alignment vertical="center"/>
    </xf>
    <xf numFmtId="3" fontId="11" fillId="0" borderId="14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16" fillId="9" borderId="16" xfId="10" applyNumberFormat="1" applyFont="1" applyFill="1" applyBorder="1" applyAlignment="1">
      <alignment horizontal="right" vertical="center"/>
    </xf>
    <xf numFmtId="174" fontId="11" fillId="0" borderId="14" xfId="10" applyNumberFormat="1" applyFont="1" applyBorder="1" applyAlignment="1">
      <alignment horizontal="right" vertical="center"/>
    </xf>
    <xf numFmtId="174" fontId="16" fillId="9" borderId="16" xfId="10" applyNumberFormat="1" applyFont="1" applyFill="1" applyBorder="1" applyAlignment="1">
      <alignment vertical="center"/>
    </xf>
    <xf numFmtId="174" fontId="11" fillId="0" borderId="14" xfId="10" applyNumberFormat="1" applyFont="1" applyBorder="1" applyAlignment="1">
      <alignment vertical="center"/>
    </xf>
    <xf numFmtId="174" fontId="11" fillId="0" borderId="0" xfId="10" applyNumberFormat="1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174" fontId="11" fillId="0" borderId="14" xfId="0" applyNumberFormat="1" applyFont="1" applyBorder="1" applyAlignment="1">
      <alignment horizontal="right" vertical="center"/>
    </xf>
    <xf numFmtId="174" fontId="16" fillId="9" borderId="17" xfId="0" applyNumberFormat="1" applyFont="1" applyFill="1" applyBorder="1" applyAlignment="1">
      <alignment horizontal="right" vertical="center"/>
    </xf>
    <xf numFmtId="174" fontId="11" fillId="0" borderId="0" xfId="0" applyNumberFormat="1" applyFont="1" applyAlignment="1">
      <alignment horizontal="right" vertical="center" wrapText="1"/>
    </xf>
    <xf numFmtId="172" fontId="11" fillId="0" borderId="14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vertical="center"/>
    </xf>
    <xf numFmtId="3" fontId="15" fillId="8" borderId="16" xfId="1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 wrapText="1"/>
    </xf>
    <xf numFmtId="3" fontId="11" fillId="0" borderId="14" xfId="10" applyNumberFormat="1" applyFont="1" applyBorder="1" applyAlignment="1">
      <alignment vertical="center"/>
    </xf>
    <xf numFmtId="3" fontId="16" fillId="9" borderId="0" xfId="10" applyNumberFormat="1" applyFont="1" applyFill="1" applyAlignment="1">
      <alignment horizontal="right" vertical="center"/>
    </xf>
    <xf numFmtId="172" fontId="15" fillId="8" borderId="16" xfId="10" applyNumberFormat="1" applyFont="1" applyFill="1" applyBorder="1" applyAlignment="1">
      <alignment vertical="center"/>
    </xf>
    <xf numFmtId="172" fontId="15" fillId="8" borderId="16" xfId="10" applyNumberFormat="1" applyFont="1" applyFill="1" applyBorder="1" applyAlignment="1">
      <alignment horizontal="right" vertical="center"/>
    </xf>
    <xf numFmtId="173" fontId="16" fillId="9" borderId="0" xfId="10" applyNumberFormat="1" applyFont="1" applyFill="1" applyAlignment="1">
      <alignment vertical="center"/>
    </xf>
    <xf numFmtId="173" fontId="16" fillId="9" borderId="0" xfId="10" applyNumberFormat="1" applyFont="1" applyFill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175" fontId="11" fillId="0" borderId="14" xfId="0" applyNumberFormat="1" applyFont="1" applyBorder="1" applyAlignment="1">
      <alignment vertical="center"/>
    </xf>
    <xf numFmtId="175" fontId="11" fillId="0" borderId="0" xfId="0" applyNumberFormat="1" applyFont="1" applyAlignment="1">
      <alignment horizontal="center" vertical="center" wrapText="1"/>
    </xf>
    <xf numFmtId="175" fontId="15" fillId="8" borderId="16" xfId="0" applyNumberFormat="1" applyFont="1" applyFill="1" applyBorder="1" applyAlignment="1">
      <alignment horizontal="right" vertical="center"/>
    </xf>
    <xf numFmtId="175" fontId="16" fillId="9" borderId="0" xfId="0" applyNumberFormat="1" applyFont="1" applyFill="1" applyAlignment="1">
      <alignment horizontal="right" vertical="center"/>
    </xf>
    <xf numFmtId="175" fontId="11" fillId="0" borderId="0" xfId="0" applyNumberFormat="1" applyFont="1" applyAlignment="1">
      <alignment horizontal="right" vertical="center" wrapText="1"/>
    </xf>
    <xf numFmtId="175" fontId="11" fillId="0" borderId="14" xfId="0" applyNumberFormat="1" applyFont="1" applyBorder="1" applyAlignment="1">
      <alignment horizontal="right" vertical="center"/>
    </xf>
    <xf numFmtId="175" fontId="15" fillId="8" borderId="17" xfId="0" applyNumberFormat="1" applyFont="1" applyFill="1" applyBorder="1" applyAlignment="1">
      <alignment horizontal="right" vertical="center"/>
    </xf>
    <xf numFmtId="174" fontId="15" fillId="8" borderId="17" xfId="0" applyNumberFormat="1" applyFont="1" applyFill="1" applyBorder="1" applyAlignment="1">
      <alignment horizontal="right" vertical="center"/>
    </xf>
    <xf numFmtId="174" fontId="16" fillId="9" borderId="0" xfId="0" applyNumberFormat="1" applyFont="1" applyFill="1" applyAlignment="1">
      <alignment horizontal="right" vertical="center"/>
    </xf>
    <xf numFmtId="173" fontId="11" fillId="0" borderId="14" xfId="10" applyNumberFormat="1" applyFont="1" applyBorder="1" applyAlignment="1">
      <alignment vertical="center"/>
    </xf>
    <xf numFmtId="173" fontId="11" fillId="0" borderId="14" xfId="10" applyNumberFormat="1" applyFont="1" applyBorder="1" applyAlignment="1">
      <alignment horizontal="right" vertical="center"/>
    </xf>
    <xf numFmtId="173" fontId="15" fillId="13" borderId="16" xfId="10" applyNumberFormat="1" applyFont="1" applyFill="1" applyBorder="1" applyAlignment="1">
      <alignment vertical="center"/>
    </xf>
    <xf numFmtId="173" fontId="15" fillId="13" borderId="16" xfId="10" applyNumberFormat="1" applyFont="1" applyFill="1" applyBorder="1" applyAlignment="1">
      <alignment horizontal="right" vertical="center"/>
    </xf>
    <xf numFmtId="173" fontId="16" fillId="6" borderId="0" xfId="10" applyNumberFormat="1" applyFont="1" applyFill="1" applyAlignment="1">
      <alignment vertical="center"/>
    </xf>
    <xf numFmtId="174" fontId="15" fillId="13" borderId="16" xfId="10" applyNumberFormat="1" applyFont="1" applyFill="1" applyBorder="1" applyAlignment="1">
      <alignment vertical="center"/>
    </xf>
    <xf numFmtId="175" fontId="15" fillId="13" borderId="16" xfId="10" applyNumberFormat="1" applyFont="1" applyFill="1" applyBorder="1" applyAlignment="1">
      <alignment horizontal="right" vertical="center"/>
    </xf>
    <xf numFmtId="175" fontId="11" fillId="0" borderId="0" xfId="10" applyNumberFormat="1" applyFont="1" applyAlignment="1">
      <alignment horizontal="right" vertical="center" wrapText="1"/>
    </xf>
    <xf numFmtId="175" fontId="16" fillId="6" borderId="0" xfId="10" applyNumberFormat="1" applyFont="1" applyFill="1" applyAlignment="1">
      <alignment horizontal="right" vertical="center"/>
    </xf>
    <xf numFmtId="174" fontId="11" fillId="0" borderId="14" xfId="10" applyNumberFormat="1" applyFont="1" applyFill="1" applyBorder="1" applyAlignment="1">
      <alignment vertical="center"/>
    </xf>
    <xf numFmtId="173" fontId="16" fillId="6" borderId="0" xfId="10" applyNumberFormat="1" applyFont="1" applyFill="1" applyAlignment="1">
      <alignment horizontal="right" vertical="center"/>
    </xf>
    <xf numFmtId="174" fontId="15" fillId="13" borderId="17" xfId="10" applyNumberFormat="1" applyFont="1" applyFill="1" applyBorder="1" applyAlignment="1">
      <alignment horizontal="right" vertical="center"/>
    </xf>
    <xf numFmtId="174" fontId="15" fillId="13" borderId="17" xfId="10" applyNumberFormat="1" applyFont="1" applyFill="1" applyBorder="1" applyAlignment="1">
      <alignment vertical="center"/>
    </xf>
    <xf numFmtId="174" fontId="11" fillId="0" borderId="0" xfId="10" applyNumberFormat="1" applyFont="1" applyAlignment="1">
      <alignment horizontal="right" vertical="center" wrapText="1"/>
    </xf>
    <xf numFmtId="174" fontId="16" fillId="6" borderId="0" xfId="10" applyNumberFormat="1" applyFont="1" applyFill="1" applyAlignment="1">
      <alignment horizontal="right" vertical="center"/>
    </xf>
    <xf numFmtId="3" fontId="15" fillId="13" borderId="16" xfId="10" applyNumberFormat="1" applyFont="1" applyFill="1" applyBorder="1" applyAlignment="1">
      <alignment vertical="center"/>
    </xf>
    <xf numFmtId="3" fontId="15" fillId="13" borderId="16" xfId="10" applyNumberFormat="1" applyFont="1" applyFill="1" applyBorder="1" applyAlignment="1">
      <alignment horizontal="right" vertical="center"/>
    </xf>
    <xf numFmtId="3" fontId="15" fillId="0" borderId="0" xfId="10" applyNumberFormat="1" applyFont="1" applyBorder="1" applyAlignment="1">
      <alignment vertical="center"/>
    </xf>
    <xf numFmtId="3" fontId="11" fillId="0" borderId="22" xfId="10" applyNumberFormat="1" applyFont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3" fontId="16" fillId="6" borderId="0" xfId="10" applyNumberFormat="1" applyFont="1" applyFill="1" applyAlignment="1">
      <alignment vertical="center"/>
    </xf>
    <xf numFmtId="172" fontId="15" fillId="13" borderId="16" xfId="10" applyNumberFormat="1" applyFont="1" applyFill="1" applyBorder="1" applyAlignment="1">
      <alignment vertical="center"/>
    </xf>
    <xf numFmtId="172" fontId="15" fillId="13" borderId="16" xfId="10" applyNumberFormat="1" applyFont="1" applyFill="1" applyBorder="1" applyAlignment="1">
      <alignment horizontal="right" vertical="center"/>
    </xf>
    <xf numFmtId="4" fontId="15" fillId="13" borderId="16" xfId="10" applyNumberFormat="1" applyFont="1" applyFill="1" applyBorder="1" applyAlignment="1">
      <alignment vertical="center"/>
    </xf>
    <xf numFmtId="4" fontId="15" fillId="0" borderId="0" xfId="10" applyNumberFormat="1" applyFont="1" applyBorder="1" applyAlignment="1">
      <alignment vertical="center"/>
    </xf>
    <xf numFmtId="4" fontId="11" fillId="0" borderId="22" xfId="10" applyNumberFormat="1" applyFont="1" applyBorder="1" applyAlignment="1">
      <alignment vertical="center"/>
    </xf>
    <xf numFmtId="4" fontId="10" fillId="0" borderId="0" xfId="0" applyNumberFormat="1" applyFont="1" applyAlignment="1">
      <alignment vertical="center" wrapText="1"/>
    </xf>
    <xf numFmtId="172" fontId="11" fillId="0" borderId="19" xfId="10" applyNumberFormat="1" applyFont="1" applyBorder="1" applyAlignment="1">
      <alignment horizontal="right" vertical="center"/>
    </xf>
    <xf numFmtId="172" fontId="16" fillId="6" borderId="0" xfId="10" applyNumberFormat="1" applyFont="1" applyFill="1" applyAlignment="1">
      <alignment horizontal="right" vertical="center"/>
    </xf>
    <xf numFmtId="3" fontId="16" fillId="6" borderId="0" xfId="10" applyNumberFormat="1" applyFont="1" applyFill="1" applyAlignment="1">
      <alignment horizontal="right" vertical="center"/>
    </xf>
    <xf numFmtId="4" fontId="11" fillId="0" borderId="20" xfId="10" applyNumberFormat="1" applyFont="1" applyBorder="1" applyAlignment="1">
      <alignment vertical="center"/>
    </xf>
    <xf numFmtId="4" fontId="16" fillId="6" borderId="0" xfId="10" applyNumberFormat="1" applyFont="1" applyFill="1" applyAlignment="1">
      <alignment vertical="center"/>
    </xf>
    <xf numFmtId="174" fontId="11" fillId="0" borderId="25" xfId="10" applyNumberFormat="1" applyFont="1" applyBorder="1" applyAlignment="1">
      <alignment vertical="center"/>
    </xf>
    <xf numFmtId="175" fontId="11" fillId="0" borderId="26" xfId="10" applyNumberFormat="1" applyFont="1" applyBorder="1" applyAlignment="1">
      <alignment horizontal="right" vertical="center"/>
    </xf>
    <xf numFmtId="175" fontId="11" fillId="0" borderId="25" xfId="10" applyNumberFormat="1" applyFont="1" applyBorder="1" applyAlignment="1">
      <alignment horizontal="right" vertical="center"/>
    </xf>
    <xf numFmtId="175" fontId="11" fillId="0" borderId="27" xfId="10" applyNumberFormat="1" applyFont="1" applyBorder="1" applyAlignment="1">
      <alignment horizontal="right" vertical="center"/>
    </xf>
    <xf numFmtId="175" fontId="11" fillId="0" borderId="0" xfId="10" applyNumberFormat="1" applyFont="1" applyBorder="1" applyAlignment="1">
      <alignment horizontal="right" vertical="center"/>
    </xf>
    <xf numFmtId="175" fontId="16" fillId="6" borderId="0" xfId="10" applyNumberFormat="1" applyFont="1" applyFill="1" applyBorder="1" applyAlignment="1">
      <alignment vertical="center"/>
    </xf>
    <xf numFmtId="175" fontId="16" fillId="6" borderId="0" xfId="10" applyNumberFormat="1" applyFont="1" applyFill="1" applyBorder="1" applyAlignment="1">
      <alignment horizontal="right" vertical="center"/>
    </xf>
    <xf numFmtId="173" fontId="11" fillId="0" borderId="23" xfId="10" applyNumberFormat="1" applyFont="1" applyBorder="1" applyAlignment="1">
      <alignment horizontal="right" vertical="center"/>
    </xf>
    <xf numFmtId="173" fontId="15" fillId="13" borderId="24" xfId="10" applyNumberFormat="1" applyFont="1" applyFill="1" applyBorder="1" applyAlignment="1">
      <alignment horizontal="right" vertical="center"/>
    </xf>
    <xf numFmtId="2" fontId="11" fillId="0" borderId="14" xfId="10" applyNumberFormat="1" applyFont="1" applyBorder="1" applyAlignment="1">
      <alignment vertical="center"/>
    </xf>
    <xf numFmtId="4" fontId="15" fillId="13" borderId="16" xfId="10" applyNumberFormat="1" applyFont="1" applyFill="1" applyBorder="1" applyAlignment="1">
      <alignment horizontal="right" vertical="center"/>
    </xf>
    <xf numFmtId="4" fontId="15" fillId="0" borderId="0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horizontal="right" vertical="center"/>
    </xf>
    <xf numFmtId="4" fontId="11" fillId="0" borderId="22" xfId="10" applyNumberFormat="1" applyFont="1" applyBorder="1" applyAlignment="1">
      <alignment horizontal="right" vertical="center"/>
    </xf>
    <xf numFmtId="4" fontId="11" fillId="0" borderId="20" xfId="1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6" fillId="6" borderId="0" xfId="10" applyNumberFormat="1" applyFont="1" applyFill="1" applyAlignment="1">
      <alignment horizontal="right" vertical="center"/>
    </xf>
    <xf numFmtId="174" fontId="11" fillId="0" borderId="22" xfId="10" applyNumberFormat="1" applyFont="1" applyBorder="1" applyAlignment="1">
      <alignment horizontal="right" vertical="center"/>
    </xf>
    <xf numFmtId="174" fontId="16" fillId="6" borderId="0" xfId="10" applyNumberFormat="1" applyFont="1" applyFill="1" applyAlignment="1">
      <alignment vertical="center"/>
    </xf>
    <xf numFmtId="174" fontId="11" fillId="0" borderId="22" xfId="10" applyNumberFormat="1" applyFont="1" applyBorder="1" applyAlignment="1">
      <alignment vertical="center"/>
    </xf>
    <xf numFmtId="174" fontId="11" fillId="0" borderId="20" xfId="10" applyNumberFormat="1" applyFont="1" applyBorder="1" applyAlignment="1">
      <alignment vertical="center"/>
    </xf>
    <xf numFmtId="3" fontId="11" fillId="0" borderId="19" xfId="10" applyNumberFormat="1" applyFont="1" applyBorder="1" applyAlignment="1">
      <alignment vertical="center"/>
    </xf>
    <xf numFmtId="174" fontId="11" fillId="0" borderId="25" xfId="10" applyNumberFormat="1" applyFont="1" applyBorder="1" applyAlignment="1">
      <alignment horizontal="right" vertical="center"/>
    </xf>
    <xf numFmtId="175" fontId="15" fillId="13" borderId="17" xfId="10" applyNumberFormat="1" applyFont="1" applyFill="1" applyBorder="1" applyAlignment="1">
      <alignment horizontal="right" vertical="center"/>
    </xf>
    <xf numFmtId="3" fontId="11" fillId="0" borderId="23" xfId="10" applyNumberFormat="1" applyFont="1" applyBorder="1" applyAlignment="1">
      <alignment horizontal="right" vertical="center"/>
    </xf>
    <xf numFmtId="3" fontId="15" fillId="13" borderId="24" xfId="10" applyNumberFormat="1" applyFont="1" applyFill="1" applyBorder="1" applyAlignment="1">
      <alignment horizontal="right" vertical="center"/>
    </xf>
    <xf numFmtId="3" fontId="11" fillId="0" borderId="18" xfId="10" applyNumberFormat="1" applyFont="1" applyBorder="1" applyAlignment="1">
      <alignment horizontal="right" vertical="center"/>
    </xf>
    <xf numFmtId="3" fontId="15" fillId="0" borderId="0" xfId="10" applyNumberFormat="1" applyFont="1" applyBorder="1" applyAlignment="1">
      <alignment horizontal="right" vertical="center"/>
    </xf>
    <xf numFmtId="3" fontId="11" fillId="0" borderId="21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 wrapText="1"/>
    </xf>
    <xf numFmtId="175" fontId="11" fillId="0" borderId="20" xfId="10" applyNumberFormat="1" applyFont="1" applyBorder="1" applyAlignment="1">
      <alignment horizontal="right" vertical="center"/>
    </xf>
    <xf numFmtId="175" fontId="11" fillId="0" borderId="14" xfId="10" applyNumberFormat="1" applyFont="1" applyBorder="1" applyAlignment="1">
      <alignment horizontal="right" vertical="center"/>
    </xf>
    <xf numFmtId="175" fontId="16" fillId="6" borderId="0" xfId="10" applyNumberFormat="1" applyFont="1" applyFill="1" applyAlignment="1">
      <alignment vertical="center"/>
    </xf>
    <xf numFmtId="4" fontId="11" fillId="0" borderId="19" xfId="10" applyNumberFormat="1" applyFont="1" applyBorder="1" applyAlignment="1">
      <alignment horizontal="right" vertical="center"/>
    </xf>
    <xf numFmtId="174" fontId="11" fillId="0" borderId="27" xfId="10" applyNumberFormat="1" applyFont="1" applyBorder="1" applyAlignment="1">
      <alignment horizontal="right" vertical="center"/>
    </xf>
    <xf numFmtId="173" fontId="11" fillId="0" borderId="22" xfId="10" applyNumberFormat="1" applyFont="1" applyBorder="1" applyAlignment="1">
      <alignment horizontal="right" vertical="center"/>
    </xf>
    <xf numFmtId="4" fontId="11" fillId="0" borderId="19" xfId="10" applyNumberFormat="1" applyFont="1" applyBorder="1" applyAlignment="1">
      <alignment vertical="center"/>
    </xf>
    <xf numFmtId="3" fontId="11" fillId="0" borderId="23" xfId="10" applyNumberFormat="1" applyFont="1" applyBorder="1" applyAlignment="1">
      <alignment vertical="center"/>
    </xf>
    <xf numFmtId="0" fontId="8" fillId="0" borderId="4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 wrapText="1"/>
    </xf>
    <xf numFmtId="168" fontId="8" fillId="0" borderId="0" xfId="13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7" fillId="0" borderId="0" xfId="0" applyFont="1"/>
    <xf numFmtId="0" fontId="16" fillId="15" borderId="0" xfId="0" applyFont="1" applyFill="1" applyAlignment="1">
      <alignment horizontal="left" vertical="center" wrapText="1"/>
    </xf>
    <xf numFmtId="3" fontId="28" fillId="0" borderId="14" xfId="13" applyNumberFormat="1" applyFont="1" applyBorder="1" applyAlignment="1">
      <alignment vertical="center"/>
    </xf>
    <xf numFmtId="3" fontId="16" fillId="9" borderId="14" xfId="13" applyNumberFormat="1" applyFont="1" applyFill="1" applyBorder="1" applyAlignment="1">
      <alignment vertical="center" wrapText="1"/>
    </xf>
    <xf numFmtId="3" fontId="16" fillId="9" borderId="14" xfId="0" applyNumberFormat="1" applyFont="1" applyFill="1" applyBorder="1" applyAlignment="1">
      <alignment vertical="center" wrapText="1"/>
    </xf>
    <xf numFmtId="3" fontId="16" fillId="14" borderId="14" xfId="13" applyNumberFormat="1" applyFont="1" applyFill="1" applyBorder="1" applyAlignment="1">
      <alignment vertical="center" wrapText="1"/>
    </xf>
    <xf numFmtId="3" fontId="16" fillId="14" borderId="14" xfId="0" applyNumberFormat="1" applyFont="1" applyFill="1" applyBorder="1" applyAlignment="1">
      <alignment vertical="center" wrapText="1"/>
    </xf>
    <xf numFmtId="3" fontId="16" fillId="15" borderId="14" xfId="13" applyNumberFormat="1" applyFont="1" applyFill="1" applyBorder="1" applyAlignment="1">
      <alignment vertical="center" wrapText="1"/>
    </xf>
    <xf numFmtId="173" fontId="24" fillId="0" borderId="50" xfId="10" applyNumberFormat="1" applyFont="1" applyBorder="1" applyAlignment="1">
      <alignment horizontal="right" vertical="center"/>
    </xf>
    <xf numFmtId="173" fontId="24" fillId="0" borderId="51" xfId="10" applyNumberFormat="1" applyFont="1" applyBorder="1" applyAlignment="1">
      <alignment horizontal="right" vertical="center"/>
    </xf>
    <xf numFmtId="174" fontId="24" fillId="0" borderId="51" xfId="10" applyNumberFormat="1" applyFont="1" applyBorder="1" applyAlignment="1">
      <alignment horizontal="right" vertical="center"/>
    </xf>
    <xf numFmtId="172" fontId="24" fillId="0" borderId="51" xfId="10" applyNumberFormat="1" applyFont="1" applyBorder="1" applyAlignment="1">
      <alignment horizontal="right" vertical="center"/>
    </xf>
    <xf numFmtId="172" fontId="24" fillId="0" borderId="52" xfId="10" applyNumberFormat="1" applyFont="1" applyBorder="1" applyAlignment="1">
      <alignment horizontal="right" vertical="center"/>
    </xf>
    <xf numFmtId="3" fontId="30" fillId="0" borderId="50" xfId="10" applyNumberFormat="1" applyFont="1" applyBorder="1" applyAlignment="1">
      <alignment vertical="center"/>
    </xf>
    <xf numFmtId="3" fontId="30" fillId="0" borderId="51" xfId="10" applyNumberFormat="1" applyFont="1" applyBorder="1" applyAlignment="1">
      <alignment vertical="center"/>
    </xf>
    <xf numFmtId="174" fontId="30" fillId="0" borderId="51" xfId="10" applyNumberFormat="1" applyFont="1" applyBorder="1" applyAlignment="1">
      <alignment horizontal="right" vertical="center"/>
    </xf>
    <xf numFmtId="172" fontId="30" fillId="0" borderId="51" xfId="10" applyNumberFormat="1" applyFont="1" applyBorder="1" applyAlignment="1">
      <alignment horizontal="right" vertical="center"/>
    </xf>
    <xf numFmtId="172" fontId="30" fillId="0" borderId="52" xfId="10" applyNumberFormat="1" applyFont="1" applyBorder="1" applyAlignment="1">
      <alignment horizontal="right" vertical="center"/>
    </xf>
    <xf numFmtId="172" fontId="30" fillId="0" borderId="51" xfId="0" applyNumberFormat="1" applyFont="1" applyBorder="1" applyAlignment="1">
      <alignment horizontal="right" vertical="center"/>
    </xf>
    <xf numFmtId="0" fontId="27" fillId="0" borderId="52" xfId="0" applyFont="1" applyBorder="1" applyAlignment="1">
      <alignment horizontal="left" vertical="center" wrapText="1"/>
    </xf>
    <xf numFmtId="175" fontId="11" fillId="13" borderId="17" xfId="10" applyNumberFormat="1" applyFont="1" applyFill="1" applyBorder="1" applyAlignment="1">
      <alignment horizontal="right" vertical="center"/>
    </xf>
    <xf numFmtId="0" fontId="18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8" fontId="8" fillId="4" borderId="0" xfId="10" applyNumberFormat="1" applyFont="1" applyFill="1" applyBorder="1" applyAlignment="1">
      <alignment horizontal="center" vertical="center" wrapText="1"/>
    </xf>
    <xf numFmtId="168" fontId="8" fillId="4" borderId="6" xfId="10" applyNumberFormat="1" applyFont="1" applyFill="1" applyBorder="1" applyAlignment="1">
      <alignment horizontal="center" vertical="center" wrapText="1"/>
    </xf>
    <xf numFmtId="167" fontId="8" fillId="4" borderId="0" xfId="10" applyNumberFormat="1" applyFont="1" applyFill="1" applyBorder="1" applyAlignment="1">
      <alignment horizontal="center" vertical="center" wrapText="1"/>
    </xf>
    <xf numFmtId="167" fontId="9" fillId="4" borderId="0" xfId="1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</cellXfs>
  <cellStyles count="15">
    <cellStyle name="Comma" xfId="10" builtinId="3"/>
    <cellStyle name="Comma 2" xfId="13"/>
    <cellStyle name="Date" xfId="2"/>
    <cellStyle name="Fixed" xfId="3"/>
    <cellStyle name="Heading1" xfId="4"/>
    <cellStyle name="Heading2" xfId="5"/>
    <cellStyle name="Hyperlink" xfId="12" builtinId="8"/>
    <cellStyle name="Normal" xfId="0" builtinId="0"/>
    <cellStyle name="Normal 2" xfId="1"/>
    <cellStyle name="Normal 2 2" xfId="8"/>
    <cellStyle name="Normal 3" xfId="9"/>
    <cellStyle name="Normal_statistika_NOVO (2)-09.01.08" xfId="11"/>
    <cellStyle name="Obično_ik" xfId="6"/>
    <cellStyle name="Style 1" xfId="7"/>
    <cellStyle name="Total 2" xfId="14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\\tesla\Home\mpremor\Dokumenti\My Data Sources\hvar HUOBI RH Statistika">
      <tp t="e">
        <v>#N/A</v>
        <stp>1</stp>
        <tr r="E21" s="51"/>
        <tr r="D30" s="51"/>
        <tr r="E29" s="51"/>
        <tr r="E26" s="51"/>
        <tr r="B26" s="51"/>
        <tr r="C26" s="51"/>
        <tr r="B25" s="51"/>
        <tr r="E25" s="51"/>
        <tr r="D25" s="51"/>
        <tr r="C23" s="51"/>
        <tr r="B23" s="51"/>
        <tr r="D23" s="51"/>
        <tr r="C19" s="51"/>
        <tr r="B19" s="51"/>
        <tr r="E19" s="51"/>
        <tr r="B10" s="51"/>
        <tr r="E10" s="51"/>
        <tr r="D10" s="51"/>
        <tr r="C10" s="51"/>
        <tr r="C8" s="51"/>
        <tr r="D8" s="51"/>
        <tr r="B12" s="51"/>
        <tr r="D12" s="51"/>
        <tr r="C28" s="51"/>
        <tr r="D29" s="51"/>
        <tr r="C32" s="51"/>
        <tr r="C31" s="51"/>
        <tr r="C16" s="51"/>
        <tr r="C25" s="51"/>
        <tr r="B20" s="51"/>
        <tr r="B7" s="51"/>
        <tr r="B30" s="51"/>
        <tr r="B16" s="51"/>
        <tr r="B14" s="51"/>
        <tr r="E7" s="51"/>
        <tr r="B33" s="51"/>
        <tr r="E23" s="51"/>
        <tr r="C15" s="51"/>
        <tr r="E20" s="51"/>
        <tr r="D16" s="51"/>
        <tr r="D32" s="51"/>
        <tr r="E34" s="51"/>
        <tr r="B21" s="51"/>
        <tr r="C7" s="51"/>
        <tr r="B28" s="51"/>
        <tr r="B17" s="51"/>
        <tr r="D13" s="51"/>
        <tr r="E15" s="51"/>
        <tr r="D19" s="51"/>
        <tr r="E11" s="51"/>
        <tr r="E12" s="51"/>
        <tr r="D26" s="51"/>
        <tr r="E9" s="51"/>
        <tr r="E22" s="51"/>
        <tr r="C9" s="51"/>
        <tr r="D27" s="51"/>
        <tr r="C6" s="51"/>
        <tr r="E8" s="51"/>
        <tr r="C17" s="51"/>
        <tr r="E32" s="51"/>
        <tr r="C33" s="51"/>
        <tr r="E13" s="51"/>
        <tr r="B22" s="51"/>
        <tr r="B18" s="51"/>
        <tr r="B24" s="51"/>
        <tr r="E27" s="51"/>
        <tr r="E18" s="51"/>
        <tr r="D28" s="51"/>
        <tr r="C11" s="51"/>
        <tr r="D24" s="51"/>
        <tr r="B9" s="51"/>
        <tr r="C24" s="51"/>
        <tr r="E6" s="51"/>
        <tr r="E28" s="51"/>
        <tr r="E33" s="51"/>
        <tr r="B15" s="51"/>
        <tr r="C21" s="51"/>
        <tr r="C30" s="51"/>
        <tr r="D18" s="51"/>
        <tr r="D21" s="51"/>
        <tr r="D33" s="51"/>
        <tr r="D22" s="51"/>
        <tr r="C18" s="51"/>
        <tr r="D7" s="51"/>
        <tr r="C29" s="51"/>
        <tr r="D31" s="51"/>
        <tr r="B6" s="51"/>
        <tr r="E16" s="51"/>
        <tr r="E31" s="51"/>
        <tr r="C34" s="51"/>
        <tr r="B13" s="51"/>
        <tr r="B27" s="51"/>
        <tr r="D6" s="51"/>
        <tr r="B31" s="51"/>
        <tr r="D14" s="51"/>
        <tr r="D34" s="51"/>
        <tr r="B29" s="51"/>
        <tr r="C14" s="51"/>
        <tr r="E30" s="51"/>
        <tr r="C20" s="51"/>
        <tr r="D15" s="51"/>
        <tr r="E24" s="51"/>
        <tr r="B8" s="51"/>
        <tr r="D20" s="51"/>
        <tr r="D11" s="51"/>
        <tr r="C27" s="51"/>
        <tr r="C12" s="51"/>
        <tr r="E17" s="51"/>
        <tr r="D9" s="51"/>
        <tr r="C22" s="51"/>
        <tr r="C13" s="51"/>
        <tr r="B11" s="51"/>
        <tr r="B34" s="51"/>
        <tr r="B32" s="51"/>
        <tr r="E14" s="51"/>
        <tr r="D17" s="51"/>
        <tr r="A26" s="51"/>
        <tr r="A25" s="51"/>
        <tr r="A23" s="51"/>
        <tr r="A19" s="51"/>
        <tr r="A10" s="51"/>
        <tr r="A16" s="51"/>
        <tr r="A24" s="51"/>
        <tr r="A6" s="51"/>
        <tr r="A8" s="51"/>
        <tr r="A12" s="51"/>
        <tr r="A18" s="51"/>
        <tr r="A27" s="51"/>
        <tr r="A33" s="51"/>
        <tr r="A13" s="51"/>
        <tr r="A7" s="51"/>
        <tr r="A17" s="51"/>
        <tr r="B3" s="51"/>
        <tr r="A28" s="51"/>
        <tr r="A9" s="51"/>
        <tr r="A29" s="51"/>
        <tr r="A32" s="51"/>
        <tr r="A20" s="51"/>
        <tr r="C5" s="51"/>
        <tr r="A11" s="51"/>
        <tr r="D5" s="51"/>
        <tr r="A30" s="51"/>
        <tr r="B2" s="51"/>
        <tr r="A21" s="51"/>
        <tr r="B5" s="51"/>
        <tr r="A34" s="51"/>
        <tr r="A31" s="51"/>
        <tr r="A22" s="51"/>
        <tr r="A14" s="51"/>
        <tr r="E5" s="51"/>
        <tr r="A15" s="51"/>
      </tp>
    </main>
    <main first="KRK HUO2 RH Statistika">
      <tp t="e">
        <v>#N/A</v>
        <stp>1</stp>
        <tr r="E21" s="50"/>
        <tr r="D29" s="50"/>
        <tr r="E33" s="50"/>
        <tr r="F12" s="50"/>
        <tr r="F31" s="50"/>
        <tr r="F27" s="50"/>
        <tr r="E8" s="50"/>
        <tr r="F17" s="50"/>
        <tr r="C10" s="50"/>
        <tr r="C13" s="50"/>
        <tr r="E17" s="50"/>
        <tr r="C17" s="50"/>
        <tr r="D17" s="50"/>
        <tr r="C8" s="50"/>
        <tr r="F8" s="50"/>
        <tr r="C20" s="50"/>
        <tr r="D20" s="50"/>
        <tr r="F20" s="50"/>
        <tr r="E20" s="50"/>
        <tr r="C27" s="50"/>
        <tr r="E27" s="50"/>
        <tr r="D27" s="50"/>
        <tr r="D33" s="50"/>
        <tr r="C33" s="50"/>
        <tr r="F33" s="50"/>
        <tr r="D9" s="50"/>
        <tr r="F9" s="50"/>
        <tr r="E9" s="50"/>
        <tr r="D11" s="50"/>
        <tr r="F11" s="50"/>
        <tr r="F25" s="50"/>
        <tr r="E25" s="50"/>
        <tr r="C29" s="50"/>
        <tr r="F29" s="50"/>
        <tr r="C23" s="50"/>
        <tr r="E11" s="50"/>
        <tr r="C25" s="50"/>
        <tr r="F19" s="50"/>
        <tr r="D23" s="50"/>
        <tr r="E16" s="50"/>
        <tr r="D21" s="50"/>
        <tr r="E19" s="50"/>
        <tr r="F23" s="50"/>
        <tr r="E31" s="50"/>
        <tr r="D8" s="50"/>
        <tr r="E12" s="50"/>
        <tr r="C21" s="50"/>
        <tr r="F10" s="50"/>
        <tr r="C15" s="50"/>
        <tr r="F13" s="50"/>
        <tr r="E10" s="50"/>
        <tr r="E26" s="50"/>
        <tr r="D19" s="50"/>
        <tr r="C9" s="50"/>
        <tr r="E29" s="50"/>
        <tr r="D25" s="50"/>
        <tr r="C12" s="50"/>
        <tr r="E28" s="50"/>
        <tr r="D15" s="50"/>
        <tr r="E13" s="50"/>
        <tr r="C11" s="50"/>
        <tr r="E23" s="50"/>
        <tr r="F15" s="50"/>
        <tr r="D26" s="50"/>
        <tr r="C28" s="50"/>
        <tr r="C19" s="50"/>
        <tr r="E15" s="50"/>
        <tr r="D10" s="50"/>
        <tr r="F28" s="50"/>
        <tr r="F26" s="50"/>
        <tr r="D12" s="50"/>
        <tr r="F16" s="50"/>
        <tr r="F21" s="50"/>
        <tr r="C31" s="50"/>
        <tr r="D31" s="50"/>
        <tr r="D28" s="50"/>
        <tr r="C26" s="50"/>
        <tr r="C16" s="50"/>
        <tr r="D16" s="50"/>
        <tr r="D13" s="50"/>
        <tr r="G48" s="8"/>
        <tr r="A2" s="8"/>
        <tr r="G18" s="8"/>
        <tr r="G17" s="8"/>
        <tr r="G14" s="8"/>
        <tr r="G45" s="8"/>
        <tr r="G54" s="8"/>
        <tr r="G34" s="8"/>
        <tr r="G44" s="8"/>
        <tr r="G52" s="8"/>
        <tr r="G29" s="8"/>
        <tr r="G23" s="8"/>
        <tr r="G21" s="8"/>
        <tr r="G41" s="8"/>
        <tr r="G47" s="8"/>
        <tr r="G20" s="8"/>
        <tr r="G39" s="8"/>
        <tr r="G15" s="8"/>
        <tr r="G10" s="8"/>
        <tr r="C2" s="8"/>
        <tr r="G13" s="8"/>
        <tr r="G8" s="8"/>
        <tr r="G12" s="8"/>
        <tr r="G9" s="8"/>
        <tr r="G32" s="8"/>
        <tr r="G19" s="8"/>
        <tr r="G30" s="8"/>
        <tr r="G27" s="8"/>
        <tr r="G49" s="8"/>
        <tr r="G35" s="8"/>
        <tr r="G53" s="8"/>
        <tr r="G37" s="8"/>
        <tr r="G43" s="8"/>
        <tr r="G38" s="8"/>
        <tr r="G28" s="8"/>
        <tr r="G22" s="8"/>
        <tr r="G33" s="8"/>
        <tr r="G26" s="8"/>
        <tr r="G25" s="8"/>
        <tr r="G36" s="8"/>
        <tr r="G51" s="8"/>
        <tr r="G40" s="8"/>
        <tr r="G24" s="8"/>
        <tr r="G46" s="8"/>
        <tr r="G11" s="8"/>
        <tr r="G42" s="8"/>
        <tr r="G16" s="8"/>
        <tr r="G7" s="8"/>
        <tr r="G50" s="8"/>
        <tr r="G31" s="8"/>
        <tr r="B2" s="8"/>
        <tr r="F20" s="8"/>
        <tr r="F8" s="8"/>
        <tr r="C20" s="8"/>
        <tr r="C113" s="8"/>
        <tr r="F12" s="8"/>
        <tr r="C59" s="8"/>
        <tr r="F45" s="8"/>
        <tr r="F48" s="8"/>
        <tr r="A22" s="8"/>
        <tr r="C83" s="8"/>
        <tr r="C33" s="8"/>
        <tr r="F30" s="8"/>
        <tr r="C118" s="8"/>
        <tr r="C86" s="8"/>
        <tr r="A19" s="8"/>
        <tr r="C7" s="8"/>
        <tr r="C97" s="8"/>
        <tr r="C90" s="8"/>
        <tr r="C44" s="8"/>
        <tr r="C67" s="8"/>
        <tr r="F10" s="8"/>
        <tr r="F39" s="8"/>
        <tr r="F37" s="8"/>
        <tr r="A9" s="8"/>
        <tr r="C47" s="8"/>
        <tr r="C28" s="8"/>
        <tr r="C120" s="8"/>
        <tr r="C112" s="8"/>
        <tr r="C87" s="8"/>
        <tr r="C78" s="8"/>
        <tr r="C17" s="8"/>
        <tr r="C75" s="8"/>
        <tr r="C22" s="8"/>
        <tr r="C92" s="8"/>
        <tr r="F26" s="8"/>
        <tr r="F25" s="8"/>
        <tr r="F36" s="8"/>
        <tr r="C114" s="8"/>
        <tr r="C77" s="8"/>
        <tr r="C105" s="8"/>
        <tr r="C25" s="8"/>
        <tr r="A7" s="8"/>
        <tr r="C27" s="8"/>
        <tr r="A23" s="8"/>
        <tr r="F14" s="8"/>
        <tr r="F13" s="8"/>
        <tr r="C15" s="8"/>
        <tr r="C8" s="8"/>
        <tr r="C21" s="8"/>
        <tr r="F32" s="8"/>
        <tr r="F40" s="8"/>
        <tr r="F22" s="8"/>
        <tr r="F51" s="8"/>
        <tr r="A34" s="8"/>
        <tr r="C26" s="8"/>
        <tr r="C117" s="8"/>
        <tr r="A10" s="8"/>
        <tr r="C103" s="8"/>
        <tr r="C82" s="8"/>
        <tr r="F42" s="8"/>
        <tr r="C88" s="8"/>
        <tr r="F17" s="8"/>
        <tr r="C48" s="8"/>
        <tr r="A8" s="8"/>
        <tr r="C85" s="8"/>
        <tr r="C24" s="8"/>
        <tr r="C54" s="8"/>
        <tr r="C72" s="8"/>
        <tr r="C13" s="8"/>
        <tr r="A14" s="8"/>
        <tr r="A24" s="8"/>
        <tr r="G6" s="8"/>
        <tr r="A13" s="8"/>
        <tr r="C55" s="8"/>
        <tr r="F9" s="8"/>
        <tr r="F15" s="8"/>
        <tr r="C95" s="8"/>
        <tr r="C94" s="8"/>
        <tr r="C84" s="8"/>
        <tr r="A16" s="8"/>
        <tr r="F47" s="8"/>
        <tr r="C46" s="8"/>
        <tr r="F41" s="8"/>
        <tr r="A18" s="8"/>
        <tr r="C34" s="8"/>
        <tr r="A30" s="8"/>
        <tr r="F33" s="8"/>
        <tr r="A32" s="8"/>
        <tr r="C106" s="8"/>
        <tr r="C70" s="8"/>
        <tr r="C100" s="8"/>
        <tr r="C71" s="8"/>
        <tr r="C66" s="8"/>
        <tr r="A29" s="8"/>
        <tr r="A17" s="8"/>
        <tr r="A25" s="8"/>
        <tr r="C37" s="8"/>
        <tr r="F18" s="8"/>
        <tr r="F23" s="8"/>
        <tr r="C62" s="8"/>
        <tr r="C116" s="8"/>
        <tr r="F21" s="8"/>
        <tr r="C42" s="8"/>
        <tr r="C1" s="8"/>
        <tr r="C119" s="8"/>
        <tr r="C23" s="8"/>
        <tr r="A1" s="8"/>
        <tr r="C38" s="8"/>
        <tr r="C68" s="8"/>
        <tr r="C14" s="8"/>
        <tr r="A33" s="8"/>
        <tr r="C53" s="8"/>
        <tr r="C57" s="8"/>
        <tr r="C110" s="8"/>
        <tr r="C115" s="8"/>
        <tr r="F19" s="8"/>
        <tr r="C108" s="8"/>
        <tr r="F29" s="8"/>
        <tr r="C16" s="8"/>
        <tr r="C107" s="8"/>
        <tr r="C58" s="8"/>
        <tr r="F28" s="8"/>
        <tr r="C104" s="8"/>
        <tr r="C19" s="8"/>
        <tr r="A20" s="8"/>
        <tr r="C109" s="8"/>
        <tr r="C29" s="8"/>
        <tr r="C60" s="8"/>
        <tr r="A27" s="8"/>
        <tr r="F44" s="8"/>
        <tr r="C40" s="8"/>
        <tr r="A28" s="8"/>
        <tr r="C52" s="8"/>
        <tr r="C111" s="8"/>
        <tr r="F34" s="8"/>
        <tr r="C79" s="8"/>
        <tr r="A15" s="8"/>
        <tr r="C12" s="8"/>
        <tr r="C98" s="8"/>
        <tr r="C31" s="8"/>
        <tr r="C56" s="8"/>
        <tr r="F53" s="8"/>
        <tr r="C49" s="8"/>
        <tr r="C81" s="8"/>
        <tr r="A12" s="8"/>
        <tr r="A11" s="8"/>
        <tr r="C99" s="8"/>
        <tr r="F27" s="8"/>
        <tr r="F7" s="8"/>
        <tr r="F31" s="8"/>
        <tr r="F11" s="8"/>
        <tr r="C30" s="8"/>
        <tr r="C96" s="8"/>
        <tr r="A26" s="8"/>
        <tr r="C9" s="8"/>
        <tr r="C102" s="8"/>
        <tr r="C50" s="8"/>
        <tr r="C43" s="8"/>
        <tr r="F54" s="8"/>
        <tr r="C51" s="8"/>
        <tr r="C101" s="8"/>
        <tr r="C93" s="8"/>
        <tr r="C35" s="8"/>
        <tr r="C41" s="8"/>
        <tr r="C18" s="8"/>
        <tr r="F43" s="8"/>
        <tr r="C121" s="8"/>
        <tr r="C36" s="8"/>
        <tr r="C80" s="8"/>
        <tr r="A21" s="8"/>
        <tr r="C32" s="8"/>
        <tr r="C39" s="8"/>
        <tr r="F38" s="8"/>
        <tr r="C61" s="8"/>
        <tr r="C89" s="8"/>
        <tr r="F50" s="8"/>
        <tr r="F24" s="8"/>
        <tr r="C76" s="8"/>
        <tr r="C73" s="8"/>
        <tr r="F46" s="8"/>
        <tr r="A31" s="8"/>
        <tr r="C91" s="8"/>
        <tr r="C64" s="8"/>
        <tr r="C10" s="8"/>
        <tr r="F16" s="8"/>
        <tr r="C65" s="8"/>
        <tr r="C45" s="8"/>
        <tr r="B1" s="8"/>
        <tr r="C63" s="8"/>
        <tr r="C11" s="8"/>
        <tr r="C74" s="8"/>
        <tr r="F52" s="8"/>
        <tr r="F49" s="8"/>
        <tr r="F35" s="8"/>
        <tr r="C69" s="8"/>
        <tr r="B17" s="50"/>
        <tr r="B34" s="50"/>
        <tr r="B18" s="50"/>
        <tr r="B8" s="50"/>
        <tr r="B20" s="50"/>
        <tr r="B27" s="50"/>
        <tr r="B33" s="50"/>
        <tr r="B9" s="50"/>
        <tr r="B11" s="50"/>
        <tr r="B25" s="50"/>
        <tr r="B19" s="50"/>
        <tr r="B22" s="50"/>
        <tr r="B10" s="50"/>
        <tr r="B24" s="50"/>
        <tr r="B31" s="50"/>
        <tr r="B30" s="50"/>
        <tr r="B29" s="50"/>
        <tr r="B14" s="50"/>
        <tr r="B12" s="50"/>
        <tr r="B23" s="50"/>
        <tr r="B28" s="50"/>
        <tr r="B26" s="50"/>
        <tr r="B21" s="50"/>
        <tr r="B13" s="50"/>
        <tr r="B15" s="50"/>
        <tr r="B32" s="50"/>
        <tr r="B16" s="50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eetMetadata" Target="metadata.xml"/><Relationship Id="rId42" Type="http://schemas.openxmlformats.org/officeDocument/2006/relationships/customXml" Target="../customXml/item7.xml"/><Relationship Id="rId47" Type="http://schemas.openxmlformats.org/officeDocument/2006/relationships/customXml" Target="../customXml/item12.xml"/><Relationship Id="rId50" Type="http://schemas.openxmlformats.org/officeDocument/2006/relationships/customXml" Target="../customXml/item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3.xml"/><Relationship Id="rId46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2.xml"/><Relationship Id="rId40" Type="http://schemas.openxmlformats.org/officeDocument/2006/relationships/customXml" Target="../customXml/item5.xml"/><Relationship Id="rId45" Type="http://schemas.openxmlformats.org/officeDocument/2006/relationships/customXml" Target="../customXml/item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customXml" Target="../customXml/item1.xml"/><Relationship Id="rId49" Type="http://schemas.openxmlformats.org/officeDocument/2006/relationships/customXml" Target="../customXml/item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4" Type="http://schemas.openxmlformats.org/officeDocument/2006/relationships/customXml" Target="../customXml/item9.xml"/><Relationship Id="rId52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alcChain" Target="calcChain.xml"/><Relationship Id="rId43" Type="http://schemas.openxmlformats.org/officeDocument/2006/relationships/customXml" Target="../customXml/item8.xml"/><Relationship Id="rId48" Type="http://schemas.openxmlformats.org/officeDocument/2006/relationships/customXml" Target="../customXml/item13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Mihaela Premor Andrijanić" refreshedDate="41925.319021759256" backgroundQuery="1" createdVersion="3" refreshedVersion="4" minRefreshableVersion="3" recordCount="0" tupleCache="1" supportSubquery="1" supportAdvancedDrill="1">
  <cacheSource type="external" connectionId="1"/>
  <cacheFields count="6">
    <cacheField name="[Učestalost podataka].[Učestalost podatka].[Učestalost podatka]" caption="Učestalost podatka" numFmtId="0" hierarchy="64" level="1">
      <sharedItems count="1">
        <s v="[Učestalost podataka].[Učestalost podatka].&amp;[7]" c="K-01"/>
      </sharedItems>
    </cacheField>
    <cacheField name="[Podvrste osiguranja].[hPodvrsteOsiguranja].[Skupina osiguranja]" caption="Skupina osiguranja" numFmtId="0" hierarchy="41" level="1">
      <sharedItems count="1">
        <s v="[Podvrste osiguranja].[hPodvrsteOsiguranja].[Skupina osiguranja].&amp;[2]" c="Život"/>
      </sharedItems>
    </cacheField>
    <cacheField name="[Podvrste osiguranja].[hPodvrsteOsiguranja].[Vrsta osiguranja]" caption="Vrsta osiguranja" numFmtId="0" hierarchy="41" level="2">
      <sharedItems count="7">
        <s v="[Podvrste osiguranja].[hPodvrsteOsiguranja].[Vrsta osiguranja].&amp;[20]" c="20 RENTNO OSIGURANJE"/>
        <s v="[Podvrste osiguranja].[hPodvrsteOsiguranja].[Vrsta osiguranja].&amp;[22]" c="22 OSIGURANJE ZA SLUČAJ VJENČANJA ILI ROĐENJA"/>
        <s v="[Podvrste osiguranja].[hPodvrsteOsiguranja].[Vrsta osiguranja].&amp;[24]" c="24 TONTINE"/>
        <s v="[Podvrste osiguranja].[hPodvrsteOsiguranja].[Vrsta osiguranja].&amp;[25]" c="25 OSIGURANJE S KAPITALIZACIJOM ISPLATE"/>
        <s v="[Podvrste osiguranja].[hPodvrsteOsiguranja].[Vrsta osiguranja].&amp;[19]" c="19 ŽIVOTNO OSIGURANJE"/>
        <s v="[Podvrste osiguranja].[hPodvrsteOsiguranja].[Vrsta osiguranja].&amp;[21]" c="21 DODATNA OSIGURANJA UZ ŽIVOTNO OSIGURANJE"/>
        <s v="[Podvrste osiguranja].[hPodvrsteOsiguranja].[Vrsta osiguranja].&amp;[23]" c="23 ŽIVOTNA ILI RENTNA OSIGURANJA KOD KOJIH OSIGURANIK NA SEBE PREUZIMA INVESTICIJSKI RIZIK"/>
      </sharedItems>
    </cacheField>
    <cacheField name="[Podvrste osiguranja].[hPodvrsteOsiguranja].[Rizik]" caption="Rizik" numFmtId="0" hierarchy="41" level="3">
      <sharedItems count="20">
        <s v="[Podvrste osiguranja].[hPodvrsteOsiguranja].[Rizik].&amp;[109]" c="20.01 OSIGURANJE OSOBNE DOŽIVOTNE RENTE"/>
        <s v="[Podvrste osiguranja].[hPodvrsteOsiguranja].[Rizik].&amp;[121]" c="24.01 TONTINE"/>
        <s v="[Podvrste osiguranja].[hPodvrsteOsiguranja].[Rizik].&amp;[114]" c="21.99 OSTALA DOPUNSKA OSIGURANJA UZ OSIGURANJE ŽIVOTA"/>
        <s v="[Podvrste osiguranja].[hPodvrsteOsiguranja].[Rizik].&amp;[99]" c="19.04 DOŽIVOTNO OSIGURANJE ZA SLUČAJ SMRTI"/>
        <s v="[Podvrste osiguranja].[hPodvrsteOsiguranja].[Rizik].&amp;[113]" c="21.02 DOPUNSKO ZDRAVSTVENO OSIGURANJE UZ OSIGURANJE ŽIVOTA"/>
        <s v="[Podvrste osiguranja].[hPodvrsteOsiguranja].[Rizik].&amp;[120]" c="23.99 OSTALA ŽIVOTNA OSIGURANJA KOD KOJIH OSIGURANIK NA SEBE PREUZIMA INVESTICIJSKI RIZIK"/>
        <s v="[Podvrste osiguranja].[hPodvrsteOsiguranja].[Rizik].&amp;[97]" c="19.02 OSIGURANJE ZA SLUČAJ SMRTI"/>
        <s v="[Podvrste osiguranja].[hPodvrsteOsiguranja].[Rizik].&amp;[119]" c="23.04 ŽIVOTNO OSIGURANJE KOD KOJEG OSIGURANIK NA SEBE PREUZIMA INVESTICIJSKI RIZIK S GARANCIJOM ISPLATE"/>
        <s v="[Podvrste osiguranja].[hPodvrsteOsiguranja].[Rizik].&amp;[111]" c="20.99 OSTALA RENTNA OSIGURANJA"/>
        <s v="[Podvrste osiguranja].[hPodvrsteOsiguranja].[Rizik].&amp;[108]" c="19.99 OSTALA OSIGURANJA ŽIVOTA"/>
        <s v="[Podvrste osiguranja].[hPodvrsteOsiguranja].[Rizik].&amp;[122]" c="25.01 OSIGURANJE S KAPITALIZACIJOM ISPLATE"/>
        <s v="[Podvrste osiguranja].[hPodvrsteOsiguranja].[Rizik].&amp;[118]" c="23.03 OSIGURANJE ZA SLUČAJ DOŽIVLJENJA KOD KOJEG OSIGURANIK NA SEBE PREUZIMA INVESTICIJSKI RIZIK"/>
        <s v="[Podvrste osiguranja].[hPodvrsteOsiguranja].[Rizik].&amp;[100]" c="19.05 OSIGURANJE KRITIČNIH BOLESTI"/>
        <s v="[Podvrste osiguranja].[hPodvrsteOsiguranja].[Rizik].&amp;[96]" c="19.01 OSIGURANJE ŽIVOTA ZA SLUČAJ SMRTI I DOŽIVLJENJA (MJEŠOVITO OSIGURANJE)"/>
        <s v="[Podvrste osiguranja].[hPodvrsteOsiguranja].[Rizik].&amp;[110]" c="20.02 OSIGURANJE OSOBNE RENTE S ODREĐENIM TRAJANJEM"/>
        <s v="[Podvrste osiguranja].[hPodvrsteOsiguranja].[Rizik].&amp;[98]" c="19.03 OSIGURANJE ZA SLUČAJ DOŽIVLJENJA"/>
        <s v="[Podvrste osiguranja].[hPodvrsteOsiguranja].[Rizik].&amp;[112]" c="21.01 DOPUNSKO OSIGURANJE OD POSLJEDICA NEZGODE UZ OSIGURANJE ŽIVOTA"/>
        <s v="[Podvrste osiguranja].[hPodvrsteOsiguranja].[Rizik].&amp;[115]" c="22.01 OSIGURANJE ZA SLUČAJ VJENČANJA ILI ROĐENJA"/>
        <s v="[Podvrste osiguranja].[hPodvrsteOsiguranja].[Rizik].&amp;[116]" c="23.01 OSIG. ŽIVOTA ZA SLUČAJ SMRTI I DOŽIVLJENJA KOD KOJEG OSIGURANIK NA SEBE PREUZIMA INV. RIZIK"/>
        <s v="[Podvrste osiguranja].[hPodvrsteOsiguranja].[Rizik].&amp;[117]" c="23.02 OSIGURANJE ZA SLUČAJ SMRTI KOD KOJEG OSIGURANIK NA SEBE PREUZIMA INVESTICIJSKI RIZIK"/>
      </sharedItems>
    </cacheField>
    <cacheField name="[Measures].[MeasuresLevel]" caption="MeasuresLevel" numFmtId="0" hierarchy="39">
      <sharedItems count="4">
        <s v="[Measures].[Zaračunata bruto premija novih osiguranja s višekratnim plaćanjem premije]" c="Zaračunata bruto premija novih osiguranja s višekratnim plaćanjem premije"/>
        <s v="[Measures].[Broj novih osiguranja s jednokratnim plaćanjem premije]" c="Broj novih osiguranja s jednokratnim plaćanjem premije"/>
        <s v="[Measures].[Zaračunata bruto premija novih osiguranja s jednokratnim plaćanjem premije]" c="Zaračunata bruto premija novih osiguranja s jednokratnim plaćanjem premije"/>
        <s v="[Measures].[Broj novih osiguranja s višekratnim plaćanjem premije]" c="Broj novih osiguranja s višekratnim plaćanjem premije"/>
      </sharedItems>
    </cacheField>
    <cacheField name="[Godina Podatka].[Godina podatka].[Godina podatka]" caption="Godina podatka" numFmtId="0" hierarchy="35" level="1">
      <sharedItems count="1">
        <s v="[Godina Podatka].[Godina podatka].&amp;[2013]" c="2013"/>
      </sharedItems>
    </cacheField>
  </cacheFields>
  <cacheHierarchies count="234">
    <cacheHierarchy uniqueName="[Bilanca].[Broj pozicije]" caption="Broj pozicije" attribute="1" defaultMemberUniqueName="[Bilanca].[Broj pozicije].[Sve pozicije]" allUniqueName="[Bilanca].[Broj pozicije].[Sve pozicije]" dimensionUniqueName="[Bilanca]" displayFolder="" count="2" unbalanced="0"/>
    <cacheHierarchy uniqueName="[Bilanca].[Nad pozicija]" caption="Nad pozicija" defaultMemberUniqueName="[Bilanca].[Nad pozicija].[Sve pozicije]" allUniqueName="[Bilanca].[Nad pozicija].[Sve pozicije]" dimensionUniqueName="[Bilanca]" displayFolder="" count="8" unbalanced="1"/>
    <cacheHierarchy uniqueName="[Bilanca].[Opis pozcije]" caption="Opis pozcije" attribute="1" defaultMemberUniqueName="[Bilanca].[Opis pozcije].[Sve pozicije]" allUniqueName="[Bilanca].[Opis pozcije].[Sve pozicije]" dimensionUniqueName="[Bilanca]" displayFolder="" count="2" unbalanced="0"/>
    <cacheHierarchy uniqueName="[Bilanca].[Oznaka pozicije]" caption="Oznaka pozicije" attribute="1" defaultMemberUniqueName="[Bilanca].[Oznaka pozicije].[Sve pozicije]" allUniqueName="[Bilanca].[Oznaka pozicije].[Sve pozicije]" dimensionUniqueName="[Bilanca]" displayFolder="" count="2" unbalanced="0"/>
    <cacheHierarchy uniqueName="[Bilanca].[Pozicija]" caption="Pozicija" attribute="1" keyAttribute="1" defaultMemberUniqueName="[Bilanca].[Pozicija].[Sve pozicije]" allUniqueName="[Bilanca].[Pozicija].[Sve pozicije]" dimensionUniqueName="[Bilanca]" displayFolder="" count="2" unbalanced="0"/>
    <cacheHierarchy uniqueName="[Datum dostave].[Dan U Tjednu]" caption="Dan U Tjednu" attribute="1" time="1" defaultMemberUniqueName="[Datum dostave].[Dan U Tjednu].[All]" allUniqueName="[Datum dostave].[Dan U Tjednu].[All]" dimensionUniqueName="[Datum dostave]" displayFolder="" count="2" unbalanced="0"/>
    <cacheHierarchy uniqueName="[Datum dostave].[Datum]" caption="Datum" attribute="1" time="1" keyAttribute="1" defaultMemberUniqueName="[Datum dostave].[Datum].[All]" allUniqueName="[Datum dostave].[Datum].[All]" dimensionUniqueName="[Datum dostave]" displayFolder="" count="2" memberValueDatatype="130" unbalanced="0"/>
    <cacheHierarchy uniqueName="[Datum dostave].[Godina]" caption="Godina" attribute="1" time="1" defaultMemberUniqueName="[Datum dostave].[Godina].[All]" allUniqueName="[Datum dostave].[Godina].[All]" dimensionUniqueName="[Datum dostave]" displayFolder="" count="2" unbalanced="0"/>
    <cacheHierarchy uniqueName="[Datum dostave].[Hierarchy]" caption="Hierarchy" time="1" defaultMemberUniqueName="[Datum dostave].[Hierarchy].[All]" allUniqueName="[Datum dostave].[Hierarchy].[All]" dimensionUniqueName="[Datum dostave]" displayFolder="" count="5" unbalanced="0"/>
    <cacheHierarchy uniqueName="[Datum dostave].[Kvartal]" caption="Kvartal" attribute="1" time="1" defaultMemberUniqueName="[Datum dostave].[Kvartal].[All]" allUniqueName="[Datum dostave].[Kvartal].[All]" dimensionUniqueName="[Datum dostave]" displayFolder="" count="2" unbalanced="0"/>
    <cacheHierarchy uniqueName="[Datum dostave].[Mjesec]" caption="Mjesec" attribute="1" time="1" defaultMemberUniqueName="[Datum dostave].[Mjesec].[All]" allUniqueName="[Datum dostave].[Mjesec].[All]" dimensionUniqueName="[Datum dostave]" displayFolder="" count="2" unbalanced="0"/>
    <cacheHierarchy uniqueName="[Društva].[Adresa 1]" caption="Adresa 1" attribute="1" defaultMemberUniqueName="[Društva].[Adresa 1].[Sva društva]" allUniqueName="[Društva].[Adresa 1].[Sva društva]" dimensionUniqueName="[Društva]" displayFolder="" count="2" unbalanced="0"/>
    <cacheHierarchy uniqueName="[Društva].[Adresa 2]" caption="Adresa 2" attribute="1" defaultMemberUniqueName="[Društva].[Adresa 2].[Sva društva]" allUniqueName="[Društva].[Adresa 2].[Sva društva]" dimensionUniqueName="[Društva]" displayFolder="" count="2" unbalanced="0"/>
    <cacheHierarchy uniqueName="[Društva].[Adresa 3]" caption="Adresa 3" attribute="1" defaultMemberUniqueName="[Društva].[Adresa 3].[Sva društva]" allUniqueName="[Društva].[Adresa 3].[Sva društva]" dimensionUniqueName="[Društva]" displayFolder="" count="2" unbalanced="0"/>
    <cacheHierarchy uniqueName="[Društva].[Adresa 4]" caption="Adresa 4" attribute="1" defaultMemberUniqueName="[Društva].[Adresa 4].[Sva društva]" allUniqueName="[Društva].[Adresa 4].[Sva društva]" dimensionUniqueName="[Društva]" displayFolder="" count="2" unbalanced="0"/>
    <cacheHierarchy uniqueName="[Društva].[Broj Pošte]" caption="Broj Pošte" attribute="1" defaultMemberUniqueName="[Društva].[Broj Pošte].[Sva društva]" allUniqueName="[Društva].[Broj Pošte].[Sva društva]" dimensionUniqueName="[Društva]" displayFolder="" count="2" unbalanced="0"/>
    <cacheHierarchy uniqueName="[Društva].[Članstvo HUO]" caption="Članstvo HUO" attribute="1" defaultMemberUniqueName="[Društva].[Članstvo HUO].[Sva društva]" allUniqueName="[Društva].[Članstvo HUO].[Sva društva]" dimensionUniqueName="[Društva]" displayFolder="" count="2" unbalanced="0"/>
    <cacheHierarchy uniqueName="[Društva].[Društvo]" caption="Društvo" attribute="1" defaultMemberUniqueName="[Društva].[Društvo].[Sva društva]" allUniqueName="[Društva].[Društvo].[Sva društva]" dimensionUniqueName="[Društva]" displayFolder="" count="2" unbalanced="0"/>
    <cacheHierarchy uniqueName="[Društva].[Država]" caption="Država" attribute="1" defaultMemberUniqueName="[Društva].[Država].[Sva društva]" allUniqueName="[Društva].[Država].[Sva društva]" dimensionUniqueName="[Društva]" displayFolder="" count="2" unbalanced="0"/>
    <cacheHierarchy uniqueName="[Društva].[Fax 1]" caption="Fax 1" attribute="1" defaultMemberUniqueName="[Društva].[Fax 1].[Sva društva]" allUniqueName="[Društva].[Fax 1].[Sva društva]" dimensionUniqueName="[Društva]" displayFolder="" count="2" unbalanced="0"/>
    <cacheHierarchy uniqueName="[Društva].[Fax 2]" caption="Fax 2" attribute="1" defaultMemberUniqueName="[Društva].[Fax 2].[Sva društva]" allUniqueName="[Društva].[Fax 2].[Sva društva]" dimensionUniqueName="[Društva]" displayFolder="" count="2" unbalanced="0"/>
    <cacheHierarchy uniqueName="[Društva].[Fax Stranka]" caption="Fax Stranka" attribute="1" defaultMemberUniqueName="[Društva].[Fax Stranka].[Sva društva]" allUniqueName="[Društva].[Fax Stranka].[Sva društva]" dimensionUniqueName="[Društva]" displayFolder="" count="2" unbalanced="0"/>
    <cacheHierarchy uniqueName="[Društva].[Hierarchy]" caption="Hierarchy" defaultMemberUniqueName="[Društva].[Hierarchy].[All]" allUniqueName="[Društva].[Hierarchy].[All]" dimensionUniqueName="[Društva]" displayFolder="" count="3" unbalanced="0"/>
    <cacheHierarchy uniqueName="[Društva].[Kod Društva]" caption="Kod Društva" attribute="1" defaultMemberUniqueName="[Društva].[Kod Društva].[Sva društva]" allUniqueName="[Društva].[Kod Društva].[Sva društva]" dimensionUniqueName="[Društva]" displayFolder="" count="2" unbalanced="0"/>
    <cacheHierarchy uniqueName="[Društva].[Mail Adresa 1]" caption="Mail Adresa 1" attribute="1" defaultMemberUniqueName="[Društva].[Mail Adresa 1].[Sva društva]" allUniqueName="[Društva].[Mail Adresa 1].[Sva društva]" dimensionUniqueName="[Društva]" displayFolder="" count="2" unbalanced="0"/>
    <cacheHierarchy uniqueName="[Društva].[Mail Adresa 2]" caption="Mail Adresa 2" attribute="1" defaultMemberUniqueName="[Društva].[Mail Adresa 2].[Sva društva]" allUniqueName="[Društva].[Mail Adresa 2].[Sva društva]" dimensionUniqueName="[Društva]" displayFolder="" count="2" unbalanced="0"/>
    <cacheHierarchy uniqueName="[Društva].[Mail Stranka]" caption="Mail Stranka" attribute="1" defaultMemberUniqueName="[Društva].[Mail Stranka].[Sva društva]" allUniqueName="[Društva].[Mail Stranka].[Sva društva]" dimensionUniqueName="[Društva]" displayFolder="" count="2" unbalanced="0"/>
    <cacheHierarchy uniqueName="[Društva].[Matični Broj]" caption="Matični Broj" attribute="1" defaultMemberUniqueName="[Društva].[Matični Broj].[Sva društva]" allUniqueName="[Društva].[Matični Broj].[Sva društva]" dimensionUniqueName="[Društva]" displayFolder="" count="2" unbalanced="0"/>
    <cacheHierarchy uniqueName="[Društva].[OIB]" caption="OIB" attribute="1" defaultMemberUniqueName="[Društva].[OIB].[Sva društva]" allUniqueName="[Društva].[OIB].[Sva društva]" dimensionUniqueName="[Društva]" displayFolder="" count="2" unbalanced="0"/>
    <cacheHierarchy uniqueName="[Društva].[Podružnica]" caption="Podružnica" attribute="1" keyAttribute="1" defaultMemberUniqueName="[Društva].[Podružnica].[Sva društva]" allUniqueName="[Društva].[Podružnica].[Sva društva]" dimensionUniqueName="[Društva]" displayFolder="" count="2" unbalanced="0"/>
    <cacheHierarchy uniqueName="[Društva].[Telefon 1]" caption="Telefon 1" attribute="1" defaultMemberUniqueName="[Društva].[Telefon 1].[Sva društva]" allUniqueName="[Društva].[Telefon 1].[Sva društva]" dimensionUniqueName="[Društva]" displayFolder="" count="2" unbalanced="0"/>
    <cacheHierarchy uniqueName="[Društva].[Telefon 2]" caption="Telefon 2" attribute="1" defaultMemberUniqueName="[Društva].[Telefon 2].[Sva društva]" allUniqueName="[Društva].[Telefon 2].[Sva društva]" dimensionUniqueName="[Društva]" displayFolder="" count="2" unbalanced="0"/>
    <cacheHierarchy uniqueName="[Društva].[Telefon 3]" caption="Telefon 3" attribute="1" defaultMemberUniqueName="[Društva].[Telefon 3].[Sva društva]" allUniqueName="[Društva].[Telefon 3].[Sva društva]" dimensionUniqueName="[Društva]" displayFolder="" count="2" unbalanced="0"/>
    <cacheHierarchy uniqueName="[Društva].[Telefon Stranka]" caption="Telefon Stranka" attribute="1" defaultMemberUniqueName="[Društva].[Telefon Stranka].[Sva društva]" allUniqueName="[Društva].[Telefon Stranka].[Sva društva]" dimensionUniqueName="[Društva]" displayFolder="" count="2" unbalanced="0"/>
    <cacheHierarchy uniqueName="[Društva].[Web Adresa]" caption="Web Adresa" attribute="1" defaultMemberUniqueName="[Društva].[Web Adresa].[Sva društva]" allUniqueName="[Društva].[Web Adresa].[Sva društva]" dimensionUniqueName="[Društva]" displayFolder="" count="2" unbalanced="0"/>
    <cacheHierarchy uniqueName="[Godina Podatka].[Godina podatka]" caption="Godina podatka" attribute="1" keyAttribute="1" defaultMemberUniqueName="[Godina Podatka].[Godina podatka].[Sve]" allUniqueName="[Godina Podatka].[Godina podatka].[Sve]" dimensionUniqueName="[Godina Podatka]" displayFolder="" count="2" unbalanced="0">
      <fieldsUsage count="2">
        <fieldUsage x="-1"/>
        <fieldUsage x="5"/>
      </fieldsUsage>
    </cacheHierarchy>
    <cacheHierarchy uniqueName="[HUO Podatak].[HUOS]" caption="HUO Podatak.HUOS" attribute="1" defaultMemberUniqueName="[HUO Podatak].[HUOS].[Svi]" allUniqueName="[HUO Podatak].[HUOS].[Svi]" dimensionUniqueName="[HUO Podatak]" displayFolder="" count="2" unbalanced="0"/>
    <cacheHierarchy uniqueName="[HUO Podatak].[Opis2]" caption="HUO Podatak.Opis2" attribute="1" defaultMemberUniqueName="[HUO Podatak].[Opis2].[Svi]" allUniqueName="[HUO Podatak].[Opis2].[Svi]" dimensionUniqueName="[HUO Podatak]" displayFolder="" count="2" unbalanced="0"/>
    <cacheHierarchy uniqueName="[HUO Podatak].[Pomoćna]" caption="HUO Podatak.Pomoćna" attribute="1" keyAttribute="1" defaultMemberUniqueName="[HUO Podatak].[Pomoćna].[Svi]" allUniqueName="[HUO Podatak].[Pomoćna].[Svi]" dimensionUniqueName="[HUO Podatak]" displayFolder="" count="2" unbalanced="0"/>
    <cacheHierarchy uniqueName="[Measures]" caption="Measures" attribute="1" keyAttribute="1" defaultMemberUniqueName="[Measures].[Iznos bilance]" dimensionUniqueName="[Measures]" displayFolder="" measures="1" count="1" unbalanced="0">
      <fieldsUsage count="1">
        <fieldUsage x="4"/>
      </fieldsUsage>
    </cacheHierarchy>
    <cacheHierarchy uniqueName="[Oblici ugovaranja].[Oblik ugovaranja]" caption="Oblik ugovaranja" attribute="1" keyAttribute="1" defaultMemberUniqueName="[Oblici ugovaranja].[Oblik ugovaranja].[Svi]" allUniqueName="[Oblici ugovaranja].[Oblik ugovaranja].[Svi]" dimensionUniqueName="[Oblici ugovaranja]" displayFolder="" count="2" unbalanced="0"/>
    <cacheHierarchy uniqueName="[Podvrste osiguranja].[hPodvrsteOsiguranja]" caption="hPodvrsteOsiguranja" defaultMemberUniqueName="[Podvrste osiguranja].[hPodvrsteOsiguranja].[Sve]" allUniqueName="[Podvrste osiguranja].[hPodvrsteOsiguranja].[Sve]" allCaption="Sve" dimensionUniqueName="[Podvrste osiguranja]" displayFolder="" count="5" unbalanced="0">
      <fieldsUsage count="4">
        <fieldUsage x="-1"/>
        <fieldUsage x="1"/>
        <fieldUsage x="2"/>
        <fieldUsage x="3"/>
      </fieldsUsage>
    </cacheHierarchy>
    <cacheHierarchy uniqueName="[Podvrste osiguranja].[Podvrsta osiguranja]" caption="Podvrsta osiguranja" attribute="1" keyAttribute="1" defaultMemberUniqueName="[Podvrste osiguranja].[Podvrsta osiguranja].[Sve]" allUniqueName="[Podvrste osiguranja].[Podvrsta osiguranja].[Sve]" dimensionUniqueName="[Podvrste osiguranja]" displayFolder="" count="2" unbalanced="0"/>
    <cacheHierarchy uniqueName="[Podvrste osiguranja].[Rizik]" caption="Rizik" attribute="1" defaultMemberUniqueName="[Podvrste osiguranja].[Rizik].[Sve]" allUniqueName="[Podvrste osiguranja].[Rizik].[Sve]" dimensionUniqueName="[Podvrste osiguranja]" displayFolder="Atributi" count="2" unbalanced="0"/>
    <cacheHierarchy uniqueName="[Podvrste osiguranja].[Skupina osiguranja]" caption="Skupina osiguranja" attribute="1" defaultMemberUniqueName="[Podvrste osiguranja].[Skupina osiguranja].[Sve]" allUniqueName="[Podvrste osiguranja].[Skupina osiguranja].[Sve]" dimensionUniqueName="[Podvrste osiguranja]" displayFolder="" count="2" unbalanced="0"/>
    <cacheHierarchy uniqueName="[Podvrste osiguranja].[Šifra podvrste osiguranja]" caption="Šifra podvrste osiguranja" attribute="1" defaultMemberUniqueName="[Podvrste osiguranja].[Šifra podvrste osiguranja].[Sve]" allUniqueName="[Podvrste osiguranja].[Šifra podvrste osiguranja].[Sve]" dimensionUniqueName="[Podvrste osiguranja]" displayFolder="Atributi" count="2" unbalanced="0"/>
    <cacheHierarchy uniqueName="[Podvrste osiguranja].[Šifra rizika]" caption="Šifra rizika" attribute="1" defaultMemberUniqueName="[Podvrste osiguranja].[Šifra rizika].[Sve]" allUniqueName="[Podvrste osiguranja].[Šifra rizika].[Sve]" dimensionUniqueName="[Podvrste osiguranja]" displayFolder="Atributi" count="2" unbalanced="0"/>
    <cacheHierarchy uniqueName="[Podvrste osiguranja].[Šifra vrste osiguranja]" caption="Šifra vrste osiguranja" attribute="1" defaultMemberUniqueName="[Podvrste osiguranja].[Šifra vrste osiguranja].[Sve]" allUniqueName="[Podvrste osiguranja].[Šifra vrste osiguranja].[Sve]" dimensionUniqueName="[Podvrste osiguranja]" displayFolder="Atributi" count="2" unbalanced="0"/>
    <cacheHierarchy uniqueName="[Podvrste osiguranja].[Vrsta osiguranja]" caption="Vrsta osiguranja" attribute="1" defaultMemberUniqueName="[Podvrste osiguranja].[Vrsta osiguranja].[Sve]" allUniqueName="[Podvrste osiguranja].[Vrsta osiguranja].[Sve]" dimensionUniqueName="[Podvrste osiguranja]" displayFolder="Atributi" count="2" unbalanced="0"/>
    <cacheHierarchy uniqueName="[Premijske grupe statistike].[Premijska grupa]" caption="Premijska grupa" attribute="1" keyAttribute="1" defaultMemberUniqueName="[Premijske grupe statistike].[Premijska grupa].[Sve]" allUniqueName="[Premijske grupe statistike].[Premijska grupa].[Sve]" dimensionUniqueName="[Premijske grupe statistike]" displayFolder="" count="2" unbalanced="0"/>
    <cacheHierarchy uniqueName="[Prodajni kanali].[Prodajni kanal]" caption="Prodajni kanal" attribute="1" keyAttribute="1" defaultMemberUniqueName="[Prodajni kanali].[Prodajni kanal].[Svi]" allUniqueName="[Prodajni kanali].[Prodajni kanal].[Svi]" dimensionUniqueName="[Prodajni kanali]" displayFolder="" count="2" unbalanced="0"/>
    <cacheHierarchy uniqueName="[RDG Pozicija].[Opis RDG pozicije]" caption="Opis RDG pozicije" attribute="1" defaultMemberUniqueName="[RDG Pozicija].[Opis RDG pozicije].[Sve]" allUniqueName="[RDG Pozicija].[Opis RDG pozicije].[Sve]" dimensionUniqueName="[RDG Pozicija]" displayFolder="" count="2" unbalanced="0"/>
    <cacheHierarchy uniqueName="[RDG Pozicija].[Oznaka RDG pozicije]" caption="Oznaka RDG pozicije" attribute="1" defaultMemberUniqueName="[RDG Pozicija].[Oznaka RDG pozicije].[Sve]" allUniqueName="[RDG Pozicija].[Oznaka RDG pozicije].[Sve]" dimensionUniqueName="[RDG Pozicija]" displayFolder="" count="2" unbalanced="0"/>
    <cacheHierarchy uniqueName="[RDG Pozicija].[RDG pozicija]" caption="RDG pozicija" attribute="1" keyAttribute="1" defaultMemberUniqueName="[RDG Pozicija].[RDG pozicija].[Sve]" allUniqueName="[RDG Pozicija].[RDG pozicija].[Sve]" dimensionUniqueName="[RDG Pozicija]" displayFolder="" count="2" unbalanced="0"/>
    <cacheHierarchy uniqueName="[Rizici].[hSkupineRiziciOsiguranja]" caption="hSkupineRiziciOsiguranja" defaultMemberUniqueName="[Rizici].[hSkupineRiziciOsiguranja].[Sve]" allUniqueName="[Rizici].[hSkupineRiziciOsiguranja].[Sve]" dimensionUniqueName="[Rizici]" displayFolder="" count="4" unbalanced="0"/>
    <cacheHierarchy uniqueName="[Rizici].[Rizik]" caption="Rizik" attribute="1" keyAttribute="1" defaultMemberUniqueName="[Rizici].[Rizik].[Sve]" allUniqueName="[Rizici].[Rizik].[Sve]" dimensionUniqueName="[Rizici]" displayFolder="" count="2" unbalanced="0"/>
    <cacheHierarchy uniqueName="[Rizici].[Skupina osiguranja]" caption="Skupina osiguranja" attribute="1" defaultMemberUniqueName="[Rizici].[Skupina osiguranja].[Sve]" allUniqueName="[Rizici].[Skupina osiguranja].[Sve]" dimensionUniqueName="[Rizici]" displayFolder="" count="2" unbalanced="0"/>
    <cacheHierarchy uniqueName="[Rizici].[Šifra rizika]" caption="Šifra rizika" attribute="1" defaultMemberUniqueName="[Rizici].[Šifra rizika].[Sve]" allUniqueName="[Rizici].[Šifra rizika].[Sve]" dimensionUniqueName="[Rizici]" displayFolder="" count="2" unbalanced="0"/>
    <cacheHierarchy uniqueName="[Rizici].[Šifra vrste osiguranja]" caption="Šifra vrste osiguranja" attribute="1" defaultMemberUniqueName="[Rizici].[Šifra vrste osiguranja].[Sve]" allUniqueName="[Rizici].[Šifra vrste osiguranja].[Sve]" dimensionUniqueName="[Rizici]" displayFolder="" count="2" unbalanced="0"/>
    <cacheHierarchy uniqueName="[Rizici].[Vrsta osiguranja]" caption="Vrsta osiguranja" attribute="1" defaultMemberUniqueName="[Rizici].[Vrsta osiguranja].[Sve]" allUniqueName="[Rizici].[Vrsta osiguranja].[Sve]" dimensionUniqueName="[Rizici]" displayFolder="" count="2" unbalanced="0"/>
    <cacheHierarchy uniqueName="[Skupine osiguranja].[Skupina osiguranja]" caption="Skupina osiguranja" attribute="1" keyAttribute="1" defaultMemberUniqueName="[Skupine osiguranja].[Skupina osiguranja].[Sve]" allUniqueName="[Skupine osiguranja].[Skupina osiguranja].[Sve]" dimensionUniqueName="[Skupine osiguranja]" displayFolder="" count="2" unbalanced="0"/>
    <cacheHierarchy uniqueName="[Stručne spreme].[Stručna sprema]" caption="Stručna sprema" attribute="1" keyAttribute="1" defaultMemberUniqueName="[Stručne spreme].[Stručna sprema].[Sve]" allUniqueName="[Stručne spreme].[Stručna sprema].[Sve]" dimensionUniqueName="[Stručne spreme]" displayFolder="" count="2" unbalanced="0"/>
    <cacheHierarchy uniqueName="[Učestalost podataka].[Redni broj učestalosti podatka]" caption="Redni broj učestalosti podatka" attribute="1" defaultMemberUniqueName="[Učestalost podataka].[Redni broj učestalosti podatka].[All]" allUniqueName="[Učestalost podataka].[Redni broj učestalosti podatka].[All]" dimensionUniqueName="[Učestalost podataka]" displayFolder="" count="2" unbalanced="0"/>
    <cacheHierarchy uniqueName="[Učestalost podataka].[Šifra učestalosti podatka]" caption="Šifra učestalosti podatka" attribute="1" defaultMemberUniqueName="[Učestalost podataka].[Šifra učestalosti podatka].[All]" allUniqueName="[Učestalost podataka].[Šifra učestalosti podatka].[All]" dimensionUniqueName="[Učestalost podataka]" displayFolder="" count="2" unbalanced="0"/>
    <cacheHierarchy uniqueName="[Učestalost podataka].[Učestalost podatka]" caption="Učestalost podatka" attribute="1" keyAttribute="1" defaultMemberUniqueName="[Učestalost podataka].[Učestalost podatka].[All]" allUniqueName="[Učestalost podataka].[Učestalost podatka].[All]" dimensionUniqueName="[Učestalost podataka]" displayFolder="" count="2" unbalanced="0">
      <fieldsUsage count="2">
        <fieldUsage x="-1"/>
        <fieldUsage x="0"/>
      </fieldsUsage>
    </cacheHierarchy>
    <cacheHierarchy uniqueName="[Verificirano].[HUOS]" caption="Verificirano.HUOS" attribute="1" defaultMemberUniqueName="[Verificirano].[HUOS].[Svi]" allUniqueName="[Verificirano].[HUOS].[Svi]" dimensionUniqueName="[Verificirano]" displayFolder="" count="2" unbalanced="0"/>
    <cacheHierarchy uniqueName="[Verificirano].[Opis2]" caption="Verificirano.Opis2" attribute="1" defaultMemberUniqueName="[Verificirano].[Opis2].[Svi]" allUniqueName="[Verificirano].[Opis2].[Svi]" dimensionUniqueName="[Verificirano]" displayFolder="" count="2" unbalanced="0"/>
    <cacheHierarchy uniqueName="[Verificirano].[Pomoćna]" caption="Verificirano.Pomoćna" attribute="1" keyAttribute="1" defaultMemberUniqueName="[Verificirano].[Pomoćna].[Svi]" allUniqueName="[Verificirano].[Pomoćna].[Svi]" dimensionUniqueName="[Verificirano]" displayFolder="" count="2" unbalanced="0"/>
    <cacheHierarchy uniqueName="[Vrste osiguranja].[hSkupineVrsteOsiguranja]" caption="hSkupineVrsteOsiguranja" defaultMemberUniqueName="[Vrste osiguranja].[hSkupineVrsteOsiguranja].[Sve]" allUniqueName="[Vrste osiguranja].[hSkupineVrsteOsiguranja].[Sve]" dimensionUniqueName="[Vrste osiguranja]" displayFolder="" count="3" unbalanced="0"/>
    <cacheHierarchy uniqueName="[Vrste osiguranja].[Skupina osiguranja]" caption="Skupina osiguranja" attribute="1" defaultMemberUniqueName="[Vrste osiguranja].[Skupina osiguranja].[Sve]" allUniqueName="[Vrste osiguranja].[Skupina osiguranja].[Sve]" dimensionUniqueName="[Vrste osiguranja]" displayFolder="" count="2" unbalanced="0"/>
    <cacheHierarchy uniqueName="[Vrste osiguranja].[Šifra vrste osiguranja]" caption="Šifra vrste osiguranja" attribute="1" defaultMemberUniqueName="[Vrste osiguranja].[Šifra vrste osiguranja].[Sve]" allUniqueName="[Vrste osiguranja].[Šifra vrste osiguranja].[Sve]" dimensionUniqueName="[Vrste osiguranja]" displayFolder="" count="2" unbalanced="0"/>
    <cacheHierarchy uniqueName="[Vrste osiguranja].[Vrsta osiguranja]" caption="Vrsta osiguranja" attribute="1" keyAttribute="1" defaultMemberUniqueName="[Vrste osiguranja].[Vrsta osiguranja].[Sve]" allUniqueName="[Vrste osiguranja].[Vrsta osiguranja].[Sve]" dimensionUniqueName="[Vrste osiguranja]" displayFolder="" count="2" unbalanced="0"/>
    <cacheHierarchy uniqueName="[Vrste osigurateljno tehničkih pričuva].[Vrste osigurateljno tehničke pričuve]" caption="Vrste osigurateljno tehničke pričuve" attribute="1" keyAttribute="1" defaultMemberUniqueName="[Vrste osigurateljno tehničkih pričuva].[Vrste osigurateljno tehničke pričuve].[Sve]" allUniqueName="[Vrste osigurateljno tehničkih pričuva].[Vrste osigurateljno tehničke pričuve].[Sve]" dimensionUniqueName="[Vrste osigurateljno tehničkih pričuva]" displayFolder="" count="2" unbalanced="0"/>
    <cacheHierarchy uniqueName="[Measures].[Iznos bilance]" caption="Iznos bilance" measure="1" displayFolder="" measureGroup="Bilanca" count="0"/>
    <cacheHierarchy uniqueName="[Measures].[Broj osiguranja- rizici]" caption="Broj osiguranja- rizici" measure="1" displayFolder="" measureGroup="Rizici" count="0"/>
    <cacheHierarchy uniqueName="[Measures].[Zaračunata bruto premija osiguranja- rizici]" caption="Zaračunata bruto premija osiguranja- rizici" measure="1" displayFolder="" measureGroup="Rizici" count="0"/>
    <cacheHierarchy uniqueName="[Measures].[Stanje prijenosne premije bruto 0101- rizici]" caption="Stanje prijenosne premije bruto 0101- rizici" measure="1" displayFolder="" measureGroup="Rizici" count="0"/>
    <cacheHierarchy uniqueName="[Measures].[Stanje prijenosne premije bruto 3112- rizici]" caption="Stanje prijenosne premije bruto 3112- rizici" measure="1" displayFolder="" measureGroup="Rizici" count="0"/>
    <cacheHierarchy uniqueName="[Measures].[Broj šteta - rizici]" caption="Broj šteta - rizici" measure="1" displayFolder="" measureGroup="Rizici" count="0"/>
    <cacheHierarchy uniqueName="[Measures].[Likvidirane štete bruto - rizici]" caption="Likvidirane štete bruto - rizici" measure="1" displayFolder="" measureGroup="Rizici" count="0"/>
    <cacheHierarchy uniqueName="[Measures].[Stanje pričuva šteta bruto 0101 - rizici]" caption="Stanje pričuva šteta bruto 0101 - rizici" measure="1" displayFolder="" measureGroup="Rizici" count="0"/>
    <cacheHierarchy uniqueName="[Measures].[Stanje pričuva šteta bruto 3112 - rizici]" caption="Stanje pričuva šteta bruto 3112 - rizici" measure="1" displayFolder="" measureGroup="Rizici" count="0"/>
    <cacheHierarchy uniqueName="[Measures].[Broj šteta u pričuvi 0101 - rizici]" caption="Broj šteta u pričuvi 0101 - rizici" measure="1" displayFolder="" measureGroup="Rizici" count="0"/>
    <cacheHierarchy uniqueName="[Measures].[Zaračunata bruto premija osiguranja- rizici EUR]" caption="Zaračunata bruto premija osiguranja- rizici EUR" measure="1" displayFolder="Rizici EUR" measureGroup="Rizici" count="0"/>
    <cacheHierarchy uniqueName="[Measures].[Stanje prijenosne premije bruto 0101- rizici EUR]" caption="Stanje prijenosne premije bruto 0101- rizici EUR" measure="1" displayFolder="Rizici EUR" measureGroup="Rizici" count="0"/>
    <cacheHierarchy uniqueName="[Measures].[Stanje prijenosne premije bruto 3112- rizici EUR]" caption="Stanje prijenosne premije bruto 3112- rizici EUR" measure="1" displayFolder="Rizici EUR" measureGroup="Rizici" count="0"/>
    <cacheHierarchy uniqueName="[Measures].[Likvidirane štete bruto - rizici EUR]" caption="Likvidirane štete bruto - rizici EUR" measure="1" displayFolder="Rizici EUR" measureGroup="Rizici" count="0"/>
    <cacheHierarchy uniqueName="[Measures].[Stanje pričuva šteta bruto 0101 - rizici EUR]" caption="Stanje pričuva šteta bruto 0101 - rizici EUR" measure="1" displayFolder="Rizici EUR" measureGroup="Rizici" count="0"/>
    <cacheHierarchy uniqueName="[Measures].[Stanje pričuva šteta bruto 3112 - rizici EUR]" caption="Stanje pričuva šteta bruto 3112 - rizici EUR" measure="1" displayFolder="Rizici EUR" measureGroup="Rizici" count="0"/>
    <cacheHierarchy uniqueName="[Measures].[2_Premije predane u reosiguranje]" caption="2_Premije predane u reosiguranje" measure="1" displayFolder="" measureGroup="Statistika po vrstama osiguranja" count="0"/>
    <cacheHierarchy uniqueName="[Measures].[2_Promjena bruto pričuva prijenosnih premija PM]" caption="2_Promjena bruto pričuva prijenosnih premija PM" measure="1" displayFolder="" measureGroup="Statistika po vrstama osiguranja" count="0"/>
    <cacheHierarchy uniqueName="[Measures].[2_Promjena pričuva prijenosnih premija udio reosiguranja PM]" caption="2_Promjena pričuva prijenosnih premija udio reosiguranja PM" measure="1" displayFolder="" measureGroup="Statistika po vrstama osiguranja" count="0"/>
    <cacheHierarchy uniqueName="[Measures].[3_Struktura premije tehnička]" caption="3_Struktura premije tehnička" measure="1" displayFolder="" measureGroup="Statistika po vrstama osiguranja" count="0"/>
    <cacheHierarchy uniqueName="[Measures].[3_Struktura premije preventiva]" caption="3_Struktura premije preventiva" measure="1" displayFolder="" measureGroup="Statistika po vrstama osiguranja" count="0"/>
    <cacheHierarchy uniqueName="[Measures].[3_Struktura premije djelatnost]" caption="3_Struktura premije djelatnost" measure="1" displayFolder="" measureGroup="Statistika po vrstama osiguranja" count="0"/>
    <cacheHierarchy uniqueName="[Measures].[5_Udio reosiguranja u štetama]" caption="5_Udio reosiguranja u štetama" measure="1" displayFolder="" measureGroup="Statistika po vrstama osiguranja" count="0"/>
    <cacheHierarchy uniqueName="[Measures].[5_Promjena pričuva za štete udio reosiguranja PM]" caption="5_Promjena pričuva za štete udio reosiguranja PM" measure="1" displayFolder="" measureGroup="Statistika po vrstama osiguranja" count="0"/>
    <cacheHierarchy uniqueName="[Measures].[5_Promjena bruto pričuva za štete PM]" caption="5_Promjena bruto pričuva za štete PM" measure="1" displayFolder="" measureGroup="Statistika po vrstama osiguranja" count="0"/>
    <cacheHierarchy uniqueName="[Measures].[6_Broj šteta prijavljenih u godini]" caption="6_Broj šteta prijavljenih u godini" measure="1" displayFolder="" measureGroup="Statistika po vrstama osiguranja" count="0"/>
    <cacheHierarchy uniqueName="[Measures].[6_Broj šteta riješenih u godini otklonjene]" caption="6_Broj šteta riješenih u godini otklonjene" measure="1" displayFolder="" measureGroup="Statistika po vrstama osiguranja" count="0"/>
    <cacheHierarchy uniqueName="[Measures].[6_Broj šteta u sudskom Sporu]" caption="6_Broj šteta u sudskom Sporu" measure="1" displayFolder="" measureGroup="Statistika po vrstama osiguranja" count="0"/>
    <cacheHierarchy uniqueName="[Measures].[6_Broj šteta u arbitražnom postupku]" caption="6_Broj šteta u arbitražnom postupku" measure="1" displayFolder="" measureGroup="Statistika po vrstama osiguranja" count="0"/>
    <cacheHierarchy uniqueName="[Measures].[6_Broj nereješenih šteta na 0101]" caption="6_Broj nereješenih šteta na 0101" measure="1" displayFolder="" measureGroup="Statistika po vrstama osiguranja" count="0"/>
    <cacheHierarchy uniqueName="[Measures].[7_Stanje pričuva preijnosna premija bruto]" caption="7_Stanje pričuva preijnosna premija bruto" measure="1" displayFolder="" measureGroup="Statistika po vrstama osiguranja" count="0"/>
    <cacheHierarchy uniqueName="[Measures].[7_Stanje pričuva udio reosiguranja]" caption="7_Stanje pričuva udio reosiguranja" measure="1" displayFolder="" measureGroup="Statistika po vrstama osiguranja" count="0"/>
    <cacheHierarchy uniqueName="[Measures].[81_Pričuve za prijavljene štete bruto]" caption="81_Pričuve za prijavljene štete bruto" measure="1" displayFolder="" measureGroup="Statistika po vrstama osiguranja" count="0"/>
    <cacheHierarchy uniqueName="[Measures].[81_Pričuve za nastale a neprijavljene štete bruto]" caption="81_Pričuve za nastale a neprijavljene štete bruto" measure="1" displayFolder="" measureGroup="Statistika po vrstama osiguranja" count="0"/>
    <cacheHierarchy uniqueName="[Measures].[81_Pričuve za rente bruto]" caption="81_Pričuve za rente bruto" measure="1" displayFolder="" measureGroup="Statistika po vrstama osiguranja" count="0"/>
    <cacheHierarchy uniqueName="[Measures].[81_Pričuve za troškove obrade šteta bruto]" caption="81_Pričuve za troškove obrade šteta bruto" measure="1" displayFolder="" measureGroup="Statistika po vrstama osiguranja" count="0"/>
    <cacheHierarchy uniqueName="[Measures].[81_Udio reosiguranja u pričuvi šteta]" caption="81_Udio reosiguranja u pričuvi šteta" measure="1" displayFolder="" measureGroup="Statistika po vrstama osiguranja" count="0"/>
    <cacheHierarchy uniqueName="[Measures].[9_Pričuve za bonuse i popuste bruto]" caption="9_Pričuve za bonuse i popuste bruto" measure="1" displayFolder="" measureGroup="Statistika po vrstama osiguranja" count="0"/>
    <cacheHierarchy uniqueName="[Measures].[9_Pričuve udio reosiguranja]" caption="9_Pričuve udio reosiguranja" measure="1" displayFolder="" measureGroup="Statistika po vrstama osiguranja" count="0"/>
    <cacheHierarchy uniqueName="[Measures].[10_Pričuve za izravnavanje kolebanje šteta]" caption="10_Pričuve za izravnavanje kolebanje šteta" measure="1" displayFolder="" measureGroup="Statistika po vrstama osiguranja" count="0"/>
    <cacheHierarchy uniqueName="[Measures].[11_Ostale osigurateljno tehničke pričuve bruto]" caption="11_Ostale osigurateljno tehničke pričuve bruto" measure="1" displayFolder="" measureGroup="Statistika po vrstama osiguranja" count="0"/>
    <cacheHierarchy uniqueName="[Measures].[11_Ostale osigurateljno tehničke pričuve udio reosiguranja]" caption="11_Ostale osigurateljno tehničke pričuve udio reosiguranja" measure="1" displayFolder="" measureGroup="Statistika po vrstama osiguranja" count="0"/>
    <cacheHierarchy uniqueName="[Measures].[15_Troškovi uprave amortizacija bez građevinskih objekata]" caption="15_Troškovi uprave amortizacija bez građevinskih objekata" measure="1" displayFolder="" measureGroup="Statistika po vrstama osiguranja" count="0"/>
    <cacheHierarchy uniqueName="[Measures].[15_Troškovi uprave plaće porezi i doprinosi]" caption="15_Troškovi uprave plaće porezi i doprinosi" measure="1" displayFolder="" measureGroup="Statistika po vrstama osiguranja" count="0"/>
    <cacheHierarchy uniqueName="[Measures].[15_Troškovi uprave ostali troškovi]" caption="15_Troškovi uprave ostali troškovi" measure="1" displayFolder="" measureGroup="Statistika po vrstama osiguranja" count="0"/>
    <cacheHierarchy uniqueName="[Measures].[15_Provizija od reosiguratelja i udio u dobiti]" caption="15_Provizija od reosiguratelja i udio u dobiti" measure="1" displayFolder="" measureGroup="Statistika po vrstama osiguranja" count="0"/>
    <cacheHierarchy uniqueName="[Measures].[16_Troškovi pribave provizija]" caption="16_Troškovi pribave provizija" measure="1" displayFolder="" measureGroup="Statistika po vrstama osiguranja" count="0"/>
    <cacheHierarchy uniqueName="[Measures].[16_Troškovi pribave ostali]" caption="16_Troškovi pribave ostali" measure="1" displayFolder="" measureGroup="Statistika po vrstama osiguranja" count="0"/>
    <cacheHierarchy uniqueName="[Measures].[16_Promjena razgraničenih troškova pribave PM]" caption="16_Promjena razgraničenih troškova pribave PM" measure="1" displayFolder="" measureGroup="Statistika po vrstama osiguranja" count="0"/>
    <cacheHierarchy uniqueName="[Measures].[16_Stanje razgraničenih troškova Pribave3112]" caption="16_Stanje razgraničenih troškova Pribave3112" measure="1" displayFolder="" measureGroup="Statistika po vrstama osiguranja" count="0"/>
    <cacheHierarchy uniqueName="[Measures].[2_Premije Predane U Reosiguranje EUR]" caption="2_Premije Predane U Reosiguranje EUR" measure="1" displayFolder="2_EUR" measureGroup="Statistika po vrstama osiguranja" count="0"/>
    <cacheHierarchy uniqueName="[Measures].[2_Promjena Bruto Pricuva Prijenosnih Premija PM EUR]" caption="2_Promjena Bruto Pricuva Prijenosnih Premija PM EUR" measure="1" displayFolder="2_EUR" measureGroup="Statistika po vrstama osiguranja" count="0"/>
    <cacheHierarchy uniqueName="[Measures].[2_Promjena Pricuva Prijenosnih Premija Udio Reosiguranja PM EUR]" caption="2_Promjena Pricuva Prijenosnih Premija Udio Reosiguranja PM EUR" measure="1" displayFolder="2_EUR" measureGroup="Statistika po vrstama osiguranja" count="0"/>
    <cacheHierarchy uniqueName="[Measures].[3_Struktura Premije Tehnicka EUR]" caption="3_Struktura Premije Tehnicka EUR" measure="1" displayFolder="3_EUR" measureGroup="Statistika po vrstama osiguranja" count="0"/>
    <cacheHierarchy uniqueName="[Measures].[3_Struktura Premije Preventiva EUR]" caption="3_Struktura Premije Preventiva EUR" measure="1" displayFolder="3_EUR" measureGroup="Statistika po vrstama osiguranja" count="0"/>
    <cacheHierarchy uniqueName="[Measures].[3_Struktura Premije Djelatnost EUR]" caption="3_Struktura Premije Djelatnost EUR" measure="1" displayFolder="3_EUR" measureGroup="Statistika po vrstama osiguranja" count="0"/>
    <cacheHierarchy uniqueName="[Measures].[13_Broj osiguranja]" caption="13_Broj osiguranja" measure="1" displayFolder="" measureGroup="Statistika po rizicima" count="0"/>
    <cacheHierarchy uniqueName="[Measures].[13_Broj osiguranih osoba aktivne police kraj obračunskoga razdoblja]" caption="13_Broj osiguranih osoba aktivne police kraj obračunskoga razdoblja" measure="1" displayFolder="" measureGroup="Statistika po rizicima" count="0"/>
    <cacheHierarchy uniqueName="[Measures].[13_Iznos ugovorenih svota godišnjih renti s dodijeljenom dobiti]" caption="13_Iznos ugovorenih svota godišnjih renti s dodijeljenom dobiti" measure="1" displayFolder="" measureGroup="Statistika po rizicima" count="0"/>
    <cacheHierarchy uniqueName="[Measures].[13_Iznos godišnjih bruto premija policiranih]" caption="13_Iznos godišnjih bruto premija policiranih" measure="1" displayFolder="" measureGroup="Statistika po rizicima" count="0"/>
    <cacheHierarchy uniqueName="[Measures].[13_Ukalkulirani troškovi u bruto premiji]" caption="13_Ukalkulirani troškovi u bruto premiji" measure="1" displayFolder="" measureGroup="Statistika po rizicima" count="0"/>
    <cacheHierarchy uniqueName="[Measures].[13_Režijski dodatak iz premije]" caption="13_Režijski dodatak iz premije" measure="1" displayFolder="" measureGroup="Statistika po rizicima" count="0"/>
    <cacheHierarchy uniqueName="[Measures].[13_Bruto iznos matematičke pričuve cilmeriziran]" caption="13_Bruto iznos matematičke pričuve cilmeriziran" measure="1" displayFolder="" measureGroup="Statistika po rizicima" count="0"/>
    <cacheHierarchy uniqueName="[Measures].[13_Udio reosiguranja]" caption="13_Udio reosiguranja" measure="1" displayFolder="" measureGroup="Statistika po rizicima" count="0"/>
    <cacheHierarchy uniqueName="[Measures].[13_Iznos priznatog neamortiziranog troška provizije zaključenja osiguranja]" caption="13_Iznos priznatog neamortiziranog troška provizije zaključenja osiguranja" measure="1" displayFolder="" measureGroup="Statistika po rizicima" count="0"/>
    <cacheHierarchy uniqueName="[Measures].[13_Bruto iznos tehničke pričuve]" caption="13_Bruto iznos tehničke pričuve" measure="1" displayFolder="" measureGroup="Statistika po rizicima" count="0"/>
    <cacheHierarchy uniqueName="[Measures].[17_Broj osiguranih osoba tijekom godine]" caption="17_Broj osiguranih osoba tijekom godine" measure="1" displayFolder="" measureGroup="Statistika po rizicima" count="0"/>
    <cacheHierarchy uniqueName="[Measures].[17_Broj osiguranih osoba aktivne police3112]" caption="17_Broj osiguranih osoba aktivne police3112" measure="1" displayFolder="" measureGroup="Statistika po rizicima" count="0"/>
    <cacheHierarchy uniqueName="[Measures].[18_Broj osiguranih osoba tijekom godine u tuzemstvu]" caption="18_Broj osiguranih osoba tijekom godine u tuzemstvu" measure="1" displayFolder="" measureGroup="Statistika po rizicima" count="0"/>
    <cacheHierarchy uniqueName="[Measures].[18_Broj osiguranih osoba tijekom godine u inozemstvu]" caption="18_Broj osiguranih osoba tijekom godine u inozemstvu" measure="1" displayFolder="" measureGroup="Statistika po rizicima" count="0"/>
    <cacheHierarchy uniqueName="[Measures].[18_Broj osiguranih osoba aktivne police 3112 u tuzemstvu]" caption="18_Broj osiguranih osoba aktivne police 3112 u tuzemstvu" measure="1" displayFolder="" measureGroup="Statistika po rizicima" count="0"/>
    <cacheHierarchy uniqueName="[Measures].[18_Broj osiguranih osoba aktivne police 3112 u inozemstvu]" caption="18_Broj osiguranih osoba aktivne police 3112 u inozemstvu" measure="1" displayFolder="" measureGroup="Statistika po rizicima" count="0"/>
    <cacheHierarchy uniqueName="[Measures].[221_Broj osiguranja]" caption="221_Broj osiguranja" measure="1" displayFolder="" measureGroup="Statistika po rizicima" count="0"/>
    <cacheHierarchy uniqueName="[Measures].[221_Broj osiguranih objekata]" caption="221_Broj osiguranih objekata" measure="1" displayFolder="" measureGroup="Statistika po rizicima" count="0"/>
    <cacheHierarchy uniqueName="[Measures].[221_Zaračunata bruto premija]" caption="221_Zaračunata bruto premija" measure="1" displayFolder="" measureGroup="Statistika po rizicima" count="0"/>
    <cacheHierarchy uniqueName="[Measures].[221_Zaračunata funkcionalna premija]" caption="221_Zaračunata funkcionalna premija" measure="1" displayFolder="" measureGroup="Statistika po rizicima" count="0"/>
    <cacheHierarchy uniqueName="[Measures].[221_Stanje prijenosne premije bruto 0101]" caption="221_Stanje prijenosne premije bruto 0101" measure="1" displayFolder="" measureGroup="Statistika po rizicima" count="0"/>
    <cacheHierarchy uniqueName="[Measures].[221_Stanje prijenosne premije bruto 3112]" caption="221_Stanje prijenosne premije bruto 3112" measure="1" displayFolder="" measureGroup="Statistika po rizicima" count="0"/>
    <cacheHierarchy uniqueName="[Measures].[222_Broj likvidiranih šteta osobe]" caption="222_Broj likvidiranih šteta osobe" measure="1" displayFolder="" measureGroup="Statistika po rizicima" count="0"/>
    <cacheHierarchy uniqueName="[Measures].[222_Broj likvidiranih šteta stvari]" caption="222_Broj likvidiranih šteta stvari" measure="1" displayFolder="" measureGroup="Statistika po rizicima" count="0"/>
    <cacheHierarchy uniqueName="[Measures].[222_Likvidirane štete iznosi bruto odšteta osobe]" caption="222_Likvidirane štete iznosi bruto odšteta osobe" measure="1" displayFolder="" measureGroup="Statistika po rizicima" count="0"/>
    <cacheHierarchy uniqueName="[Measures].[222_Likvidirane štete iznosi bruto odšteta stvari]" caption="222_Likvidirane štete iznosi bruto odšteta stvari" measure="1" displayFolder="" measureGroup="Statistika po rizicima" count="0"/>
    <cacheHierarchy uniqueName="[Measures].[222_Pričuve broj šteta na osobama]" caption="222_Pričuve broj šteta na osobama" measure="1" displayFolder="" measureGroup="Statistika po rizicima" count="0"/>
    <cacheHierarchy uniqueName="[Measures].[222_Pričuve broj šteta na stvarima]" caption="222_Pričuve broj šteta na stvarima" measure="1" displayFolder="" measureGroup="Statistika po rizicima" count="0"/>
    <cacheHierarchy uniqueName="[Measures].[222_Pričuve rezervirani bruto iznosi odšteta osobe]" caption="222_Pričuve rezervirani bruto iznosi odšteta osobe" measure="1" displayFolder="" measureGroup="Statistika po rizicima" count="0"/>
    <cacheHierarchy uniqueName="[Measures].[222_Pričuve rezervirani bruto iznosi odšteta stvari]" caption="222_Pričuve rezervirani bruto iznosi odšteta stvari" measure="1" displayFolder="" measureGroup="Statistika po rizicima" count="0"/>
    <cacheHierarchy uniqueName="[Measures].[191_Broj ugovora o osiguranju]" caption="191_Broj ugovora o osiguranju" measure="1" displayFolder="" measureGroup="Statistike po podvrstama osiguranja" count="0"/>
    <cacheHierarchy uniqueName="[Measures].[191_Zaračunata bruto premija]" caption="191_Zaračunata bruto premija" measure="1" displayFolder="" measureGroup="Statistike po podvrstama osiguranja" count="0"/>
    <cacheHierarchy uniqueName="[Measures].[191_Zaračunata funkcionalna premija]" caption="191_Zaračunata funkcionalna premija" measure="1" displayFolder="" measureGroup="Statistike po podvrstama osiguranja" count="0"/>
    <cacheHierarchy uniqueName="[Measures].[191_Stanje prijenosne premije bruto 0101]" caption="191_Stanje prijenosne premije bruto 0101" measure="1" displayFolder="" measureGroup="Statistike po podvrstama osiguranja" count="0"/>
    <cacheHierarchy uniqueName="[Measures].[191_Stanje prijenosne premije bruto 3112]" caption="191_Stanje prijenosne premije bruto 3112" measure="1" displayFolder="" measureGroup="Statistike po podvrstama osiguranja" count="0"/>
    <cacheHierarchy uniqueName="[Measures].[192_Broj likvidiranih šteta smrt]" caption="192_Broj likvidiranih šteta smrt" measure="1" displayFolder="" measureGroup="Statistike po podvrstama osiguranja" count="0"/>
    <cacheHierarchy uniqueName="[Measures].[192_Broj likvidiranih šteta trajni invaliditet]" caption="192_Broj likvidiranih šteta trajni invaliditet" measure="1" displayFolder="" measureGroup="Statistike po podvrstama osiguranja" count="0"/>
    <cacheHierarchy uniqueName="[Measures].[192_Broj likvidiranih šteta ostalo]" caption="192_Broj likvidiranih šteta ostalo" measure="1" displayFolder="" measureGroup="Statistike po podvrstama osiguranja" count="0"/>
    <cacheHierarchy uniqueName="[Measures].[192_Iznos likvidiranih šteta smrt]" caption="192_Iznos likvidiranih šteta smrt" measure="1" displayFolder="" measureGroup="Statistike po podvrstama osiguranja" count="0"/>
    <cacheHierarchy uniqueName="[Measures].[192_Iznos likvidiranih šteta trajni invaliditet]" caption="192_Iznos likvidiranih šteta trajni invaliditet" measure="1" displayFolder="" measureGroup="Statistike po podvrstama osiguranja" count="0"/>
    <cacheHierarchy uniqueName="[Measures].[192_Iznos likvidiranih šteta ostalo]" caption="192_Iznos likvidiranih šteta ostalo" measure="1" displayFolder="" measureGroup="Statistike po podvrstama osiguranja" count="0"/>
    <cacheHierarchy uniqueName="[Measures].[192_Broj pričuva šteta smrt]" caption="192_Broj pričuva šteta smrt" measure="1" displayFolder="" measureGroup="Statistike po podvrstama osiguranja" count="0"/>
    <cacheHierarchy uniqueName="[Measures].[192_Broj pričuva šteta trajni invaliditet]" caption="192_Broj pričuva šteta trajni invaliditet" measure="1" displayFolder="" measureGroup="Statistike po podvrstama osiguranja" count="0"/>
    <cacheHierarchy uniqueName="[Measures].[192_Broj pričuva šteta otalo]" caption="192_Broj pričuva šteta otalo" measure="1" displayFolder="" measureGroup="Statistike po podvrstama osiguranja" count="0"/>
    <cacheHierarchy uniqueName="[Measures].[192_Rezervirani iznos pričuva šteta bruto smrt]" caption="192_Rezervirani iznos pričuva šteta bruto smrt" measure="1" displayFolder="" measureGroup="Statistike po podvrstama osiguranja" count="0"/>
    <cacheHierarchy uniqueName="[Measures].[192_Rezervirani iznos pričuva šteta bruto trajni invaliditet]" caption="192_Rezervirani iznos pričuva šteta bruto trajni invaliditet" measure="1" displayFolder="" measureGroup="Statistike po podvrstama osiguranja" count="0"/>
    <cacheHierarchy uniqueName="[Measures].[192_Rezervirani iznos pričuva šteta bruto ostalo]" caption="192_Rezervirani iznos pričuva šteta bruto ostalo" measure="1" displayFolder="" measureGroup="Statistike po podvrstama osiguranja" count="0"/>
    <cacheHierarchy uniqueName="[Measures].[201_Broj osiguranja]" caption="201_Broj osiguranja" measure="1" displayFolder="" measureGroup="Statistike po podvrstama osiguranja" count="0"/>
    <cacheHierarchy uniqueName="[Measures].[201_Broj osiguranih osoba]" caption="201_Broj osiguranih osoba" measure="1" displayFolder="" measureGroup="Statistike po podvrstama osiguranja" count="0"/>
    <cacheHierarchy uniqueName="[Measures].[201_Zaračunata bruto premija osiguranja]" caption="201_Zaračunata bruto premija osiguranja" measure="1" displayFolder="" measureGroup="Statistike po podvrstama osiguranja" count="0"/>
    <cacheHierarchy uniqueName="[Measures].[201_Zaračunata funkcionalna premija]" caption="201_Zaračunata funkcionalna premija" measure="1" displayFolder="" measureGroup="Statistike po podvrstama osiguranja" count="0"/>
    <cacheHierarchy uniqueName="[Measures].[201_Stanje prijenosne premije bruto 0101]" caption="201_Stanje prijenosne premije bruto 0101" measure="1" displayFolder="" measureGroup="Statistike po podvrstama osiguranja" count="0"/>
    <cacheHierarchy uniqueName="[Measures].[201_Stanje prijenosne premije bruto 3112]" caption="201_Stanje prijenosne premije bruto 3112" measure="1" displayFolder="" measureGroup="Statistike po podvrstama osiguranja" count="0"/>
    <cacheHierarchy uniqueName="[Measures].[202_Broj šteta za ozljede na radu]" caption="202_Broj šteta za ozljede na radu" measure="1" displayFolder="" measureGroup="Statistike po podvrstama osiguranja" count="0"/>
    <cacheHierarchy uniqueName="[Measures].[202_Broj šteta za profesionalne bolesti]" caption="202_Broj šteta za profesionalne bolesti" measure="1" displayFolder="" measureGroup="Statistike po podvrstama osiguranja" count="0"/>
    <cacheHierarchy uniqueName="[Measures].[202_Likvidirane štete bruto za ozljede na radu]" caption="202_Likvidirane štete bruto za ozljede na radu" measure="1" displayFolder="" measureGroup="Statistike po podvrstama osiguranja" count="0"/>
    <cacheHierarchy uniqueName="[Measures].[202_Likvidirane štete bruto za profesionalne bolesti]" caption="202_Likvidirane štete bruto za profesionalne bolesti" measure="1" displayFolder="" measureGroup="Statistike po podvrstama osiguranja" count="0"/>
    <cacheHierarchy uniqueName="[Measures].[202_Broj šteta u Pričuvi za ozljede na radu i profesionalne bolesti 0101]" caption="202_Broj šteta u Pričuvi za ozljede na radu i profesionalne bolesti 0101" measure="1" displayFolder="" measureGroup="Statistike po podvrstama osiguranja" count="0"/>
    <cacheHierarchy uniqueName="[Measures].[202_Broj šteta u Pričuvi za ozljede na radu i profesionalne bolesti 3112]" caption="202_Broj šteta u Pričuvi za ozljede na radu i profesionalne bolesti 3112" measure="1" displayFolder="" measureGroup="Statistike po podvrstama osiguranja" count="0"/>
    <cacheHierarchy uniqueName="[Measures].[202_Štete u pričuvi za ozljede na radu i profesionalne bolesti bruto 0101]" caption="202_Štete u pričuvi za ozljede na radu i profesionalne bolesti bruto 0101" measure="1" displayFolder="" measureGroup="Statistike po podvrstama osiguranja" count="0"/>
    <cacheHierarchy uniqueName="[Measures].[202_Štete u pričuvi za ozljede na radu i profesionalne bolesti bruto 3112]" caption="202_Štete u pričuvi za ozljede na radu i profesionalne bolesti bruto 3112" measure="1" displayFolder="" measureGroup="Statistike po podvrstama osiguranja" count="0"/>
    <cacheHierarchy uniqueName="[Measures].[211_Broj osiguranja]" caption="211_Broj osiguranja" measure="1" displayFolder="" measureGroup="Statistike po premijskim grupama" count="0"/>
    <cacheHierarchy uniqueName="[Measures].[211_Zaračunata bruto premija]" caption="211_Zaračunata bruto premija" measure="1" displayFolder="" measureGroup="Statistike po premijskim grupama" count="0"/>
    <cacheHierarchy uniqueName="[Measures].[211_Zaračunata funkcionalna premija]" caption="211_Zaračunata funkcionalna premija" measure="1" displayFolder="" measureGroup="Statistike po premijskim grupama" count="0"/>
    <cacheHierarchy uniqueName="[Measures].[211_Stanje prijenosnih premija bruto 0101]" caption="211_Stanje prijenosnih premija bruto 0101" measure="1" displayFolder="" measureGroup="Statistike po premijskim grupama" count="0"/>
    <cacheHierarchy uniqueName="[Measures].[211_Stanje prijenosnih premija bruto 3112]" caption="211_Stanje prijenosnih premija bruto 3112" measure="1" displayFolder="" measureGroup="Statistike po premijskim grupama" count="0"/>
    <cacheHierarchy uniqueName="[Measures].[212_Broj likvidiranih šteta osobe]" caption="212_Broj likvidiranih šteta osobe" measure="1" displayFolder="" measureGroup="Statistike po premijskim grupama" count="0"/>
    <cacheHierarchy uniqueName="[Measures].[212_Broj likvidiranih šteta stvari]" caption="212_Broj likvidiranih šteta stvari" measure="1" displayFolder="" measureGroup="Statistike po premijskim grupama" count="0"/>
    <cacheHierarchy uniqueName="[Measures].[212_Likvidirane šete bruto iznos odštete osobe]" caption="212_Likvidirane šete bruto iznos odštete osobe" measure="1" displayFolder="" measureGroup="Statistike po premijskim grupama" count="0"/>
    <cacheHierarchy uniqueName="[Measures].[212_Likvidirane šete bruto iznos odštete stvari]" caption="212_Likvidirane šete bruto iznos odštete stvari" measure="1" displayFolder="" measureGroup="Statistike po premijskim grupama" count="0"/>
    <cacheHierarchy uniqueName="[Measures].[212_Pričuva 3112  broj šteta na osobama]" caption="212_Pričuva 3112  broj šteta na osobama" measure="1" displayFolder="" measureGroup="Statistike po premijskim grupama" count="0"/>
    <cacheHierarchy uniqueName="[Measures].[212_Pričuva 3112  broj šteta na stvarima]" caption="212_Pričuva 3112  broj šteta na stvarima" measure="1" displayFolder="" measureGroup="Statistike po premijskim grupama" count="0"/>
    <cacheHierarchy uniqueName="[Measures].[212_Pričuva 3112 rezervirani bruto iznosi odšteta osobe]" caption="212_Pričuva 3112 rezervirani bruto iznosi odšteta osobe" measure="1" displayFolder="" measureGroup="Statistike po premijskim grupama" count="0"/>
    <cacheHierarchy uniqueName="[Measures].[212_Pričuva 3112 rezervirani bruto iznosi odšteta stvari]" caption="212_Pričuva 3112 rezervirani bruto iznosi odšteta stvari" measure="1" displayFolder="" measureGroup="Statistike po premijskim grupama" count="0"/>
    <cacheHierarchy uniqueName="[Measures].[12_Ostale osigurateljno tehničke pričuve bruto]" caption="12_Ostale osigurateljno tehničke pričuve bruto" measure="1" displayFolder="" measureGroup="Ostale osigurateljno tehničke pričuve" count="0"/>
    <cacheHierarchy uniqueName="[Measures].[12_Ostale osigurateljno tehničke pričuve udio reosiguranja]" caption="12_Ostale osigurateljno tehničke pričuve udio reosiguranja" measure="1" displayFolder="" measureGroup="Ostale osigurateljno tehničke pričuve" count="0"/>
    <cacheHierarchy uniqueName="[Measures].[14_Prijenosna premija neto od reosiguranja]" caption="14_Prijenosna premija neto od reosiguranja" measure="1" displayFolder="" measureGroup="Obračun učinka osigurateljno tehničkih pričuva" count="0"/>
    <cacheHierarchy uniqueName="[Measures].[14_Pričuve šteta neto od reosiguranja]" caption="14_Pričuve šteta neto od reosiguranja" measure="1" displayFolder="" measureGroup="Obračun učinka osigurateljno tehničkih pričuva" count="0"/>
    <cacheHierarchy uniqueName="[Measures].[14_Pričuve za bonuse i popuste neto od reosiguranja]" caption="14_Pričuve za bonuse i popuste neto od reosiguranja" measure="1" displayFolder="" measureGroup="Obračun učinka osigurateljno tehničkih pričuva" count="0"/>
    <cacheHierarchy uniqueName="[Measures].[14_Matematičke pricuve neto od reosiguranj]" caption="14_Matematičke pricuve neto od reosiguranj" measure="1" displayFolder="" measureGroup="Obračun učinka osigurateljno tehničkih pričuva" count="0"/>
    <cacheHierarchy uniqueName="[Measures].[14_Ostale osigurateljno tehničke pricuve neto od reosiguranja]" caption="14_Ostale osigurateljno tehničke pricuve neto od reosiguranja" measure="1" displayFolder="" measureGroup="Obračun učinka osigurateljno tehničkih pričuva" count="0"/>
    <cacheHierarchy uniqueName="[Measures].[24_Bruto premija]" caption="24_Bruto premija" measure="1" displayFolder="" measureGroup="Prodajni kanali" count="0"/>
    <cacheHierarchy uniqueName="[Measures].[23_Broj uposlenih]" caption="23_Broj uposlenih" measure="1" displayFolder="" measureGroup="Struktura uposlenih" count="0"/>
    <cacheHierarchy uniqueName="[Measures].[23_Prosječan broj uposlenih]" caption="23_Prosječan broj uposlenih" measure="1" displayFolder="" measureGroup="Struktura uposlenih prosjek" count="0"/>
    <cacheHierarchy uniqueName="[Measures].[23_Broj uposlenih na pribavi osiguranja]" caption="23_Broj uposlenih na pribavi osiguranja" measure="1" displayFolder="" measureGroup="Struktura uposlenih prosjek" count="0"/>
    <cacheHierarchy uniqueName="[Measures].[23_Broj uposlenih na likvidaciji šteta]" caption="23_Broj uposlenih na likvidaciji šteta" measure="1" displayFolder="" measureGroup="Struktura uposlenih prosjek" count="0"/>
    <cacheHierarchy uniqueName="[Measures].[4_Iznos zaračunate premije životnog osiguranja]" caption="4_Iznos zaračunate premije životnog osiguranja" measure="1" displayFolder="" measureGroup="Zaračunata premija životnih osiguranja" count="0"/>
    <cacheHierarchy uniqueName="[Measures].[Dostavljeno]" caption="Dostavljeno" measure="1" displayFolder="" measureGroup="HUOS dostava podataka" count="0"/>
    <cacheHierarchy uniqueName="[Measures].[Dostavljeno  AO1]" caption="Dostavljeno  AO1" measure="1" displayFolder="" measureGroup="AO1" count="0"/>
    <cacheHierarchy uniqueName="[Measures].[Dostavljeno  AO2]" caption="Dostavljeno  AO2" measure="1" displayFolder="" measureGroup="AO2" count="0"/>
    <cacheHierarchy uniqueName="[Measures].[Dostavljeno  AO3]" caption="Dostavljeno  AO3" measure="1" displayFolder="" measureGroup="AO3" count="0"/>
    <cacheHierarchy uniqueName="[Measures].[Zaračunata bruto premija novih osiguranja s višekratnim plaćanjem premije]" caption="Zaračunata bruto premija novih osiguranja s višekratnim plaćanjem premije" measure="1" displayFolder="" measureGroup="HUOS" count="0"/>
    <cacheHierarchy uniqueName="[Measures].[Broj novih osiguranja s višekratnim plaćanjem premije]" caption="Broj novih osiguranja s višekratnim plaćanjem premije" measure="1" displayFolder="" measureGroup="HUOS" count="0"/>
    <cacheHierarchy uniqueName="[Measures].[Zaračunata bruto premija novih osiguranja s jednokratnim plaćanjem premije]" caption="Zaračunata bruto premija novih osiguranja s jednokratnim plaćanjem premije" measure="1" displayFolder="" measureGroup="HUOS" count="0"/>
    <cacheHierarchy uniqueName="[Measures].[Broj novih osiguranja s jednokratnim plaćanjem premije]" caption="Broj novih osiguranja s jednokratnim plaćanjem premije" measure="1" displayFolder="" measureGroup="HUOS" count="0"/>
    <cacheHierarchy uniqueName="[Measures].[RDG Iznos]" caption="RDG Iznos" measure="1" displayFolder="" measureGroup="RDG" count="0"/>
    <cacheHierarchy uniqueName="[Measures].[Broj osiguranja 070809]" caption="Broj osiguranja 070809" measure="1" displayFolder="Kalkulirane mjere" measureGroup="Rizici" count="0"/>
    <cacheHierarchy uniqueName="[Measures].[Zaračunata bruto premija osiguranja 070809]" caption="Zaračunata bruto premija osiguranja 070809" measure="1" displayFolder="Kalkulirane mjere" measureGroup="Rizici" count="0"/>
    <cacheHierarchy uniqueName="[Measures].[Broj osiguranja 070809 RT]" caption="Broj osiguranja 070809 RT" measure="1" displayFolder="Kalkulirane mjere" measureGroup="Rizici" count="0"/>
    <cacheHierarchy uniqueName="[Measures].[Zaračunata bruto premija osiguranja 070809 RT]" caption="Zaračunata bruto premija osiguranja 070809 RT" measure="1" displayFolder="Kalkulirane mjere" measureGroup="Rizici" count="0"/>
    <cacheHierarchy uniqueName="[Measures].[Broj osiguranja- rizici RT]" caption="Broj osiguranja- rizici RT" measure="1" displayFolder="KAlkulirane mjere" measureGroup="Rizici" count="0"/>
    <cacheHierarchy uniqueName="[Measures].[Broj šteta - rizici RT]" caption="Broj šteta - rizici RT" measure="1" displayFolder="Kalkulirane mjere" measureGroup="Rizici" count="0"/>
    <cacheHierarchy uniqueName="[Measures].[Zaračunata bruto premija osiguranja- rizici RT]" caption="Zaračunata bruto premija osiguranja- rizici RT" measure="1" displayFolder="Kalkulirane mjere" measureGroup="Rizici" count="0"/>
    <cacheHierarchy uniqueName="[Measures].[Likvidirane štete bruto - rizici RT]" caption="Likvidirane štete bruto - rizici RT" measure="1" displayFolder="Kalkulirane mjere" measureGroup="Rizici" count="0"/>
    <cacheHierarchy uniqueName="[Measures].[Broj stavki bilance]" caption="Broj stavki bilance" measure="1" displayFolder="" measureGroup="Bilanca" count="0" hidden="1"/>
  </cacheHierarchies>
  <kpis count="0"/>
  <tupleCache>
    <entries count="116">
      <n v="344360.95" in="0">
        <tpls c="4">
          <tpl fld="5" item="0"/>
          <tpl fld="4" item="2"/>
          <tpl fld="3" item="8"/>
          <tpl hier="64" item="0"/>
        </tpls>
      </n>
      <n v="601276.92999999993" in="0">
        <tpls c="4">
          <tpl fld="5" item="0"/>
          <tpl fld="4" item="0"/>
          <tpl fld="2" item="0"/>
          <tpl hier="64" item="0"/>
        </tpls>
      </n>
      <n v="0" in="1">
        <tpls c="4">
          <tpl fld="5" item="0"/>
          <tpl fld="4" item="1"/>
          <tpl fld="2" item="3"/>
          <tpl hier="64" item="0"/>
        </tpls>
      </n>
      <n v="23296" in="1">
        <tpls c="4">
          <tpl fld="5" item="0"/>
          <tpl fld="4" item="1"/>
          <tpl hier="41" item="4294967295"/>
          <tpl hier="64" item="0"/>
        </tpls>
      </n>
      <n v="0" in="1">
        <tpls c="4">
          <tpl fld="5" item="0"/>
          <tpl fld="4" item="1"/>
          <tpl fld="3" item="3"/>
          <tpl hier="64" item="0"/>
        </tpls>
      </n>
      <n v="116" in="1">
        <tpls c="4">
          <tpl fld="5" item="0"/>
          <tpl fld="4" item="3"/>
          <tpl fld="3" item="9"/>
          <tpl hier="64" item="0"/>
        </tpls>
      </n>
      <n v="41" in="1">
        <tpls c="4">
          <tpl fld="5" item="0"/>
          <tpl fld="4" item="3"/>
          <tpl fld="2" item="1"/>
          <tpl hier="64" item="0"/>
        </tpls>
      </n>
      <n v="28849814.339999992" in="0">
        <tpls c="4">
          <tpl fld="5" item="0"/>
          <tpl fld="4" item="2"/>
          <tpl fld="3" item="6"/>
          <tpl hier="64" item="0"/>
        </tpls>
      </n>
      <n v="0" in="0">
        <tpls c="4">
          <tpl fld="5" item="0"/>
          <tpl fld="4" item="0"/>
          <tpl fld="3" item="8"/>
          <tpl hier="64" item="0"/>
        </tpls>
      </n>
      <n v="2250" in="1">
        <tpls c="4">
          <tpl fld="5" item="0"/>
          <tpl fld="4" item="3"/>
          <tpl fld="3" item="12"/>
          <tpl hier="64" item="0"/>
        </tpls>
      </n>
      <n v="0" in="1">
        <tpls c="4">
          <tpl fld="5" item="0"/>
          <tpl fld="4" item="3"/>
          <tpl fld="3" item="11"/>
          <tpl hier="64" item="0"/>
        </tpls>
      </n>
      <n v="382168.98" in="0">
        <tpls c="4">
          <tpl fld="5" item="0"/>
          <tpl fld="4" item="2"/>
          <tpl fld="3" item="3"/>
          <tpl hier="64" item="0"/>
        </tpls>
      </n>
      <n v="0" in="0">
        <tpls c="4">
          <tpl fld="5" item="0"/>
          <tpl fld="4" item="2"/>
          <tpl fld="3" item="4"/>
          <tpl hier="64" item="0"/>
        </tpls>
      </n>
      <n v="8358" in="1">
        <tpls c="4">
          <tpl fld="5" item="0"/>
          <tpl fld="4" item="1"/>
          <tpl fld="3" item="13"/>
          <tpl hier="64" item="0"/>
        </tpls>
      </n>
      <n v="1737726.1099999999" in="0">
        <tpls c="4">
          <tpl fld="5" item="0"/>
          <tpl fld="4" item="0"/>
          <tpl fld="2" item="6"/>
          <tpl hier="64" item="0"/>
        </tpls>
      </n>
      <n v="1041341.27" in="0">
        <tpls c="4">
          <tpl fld="5" item="0"/>
          <tpl fld="4" item="2"/>
          <tpl fld="3" item="0"/>
          <tpl hier="64" item="0"/>
        </tpls>
      </n>
      <n v="745" in="1">
        <tpls c="4">
          <tpl fld="5" item="0"/>
          <tpl fld="4" item="3"/>
          <tpl fld="3" item="4"/>
          <tpl hier="64" item="0"/>
        </tpls>
      </n>
      <n v="0" in="0">
        <tpls c="4">
          <tpl fld="5" item="0"/>
          <tpl fld="4" item="0"/>
          <tpl fld="2" item="2"/>
          <tpl hier="64" item="0"/>
        </tpls>
      </n>
      <n v="21" in="1">
        <tpls c="4">
          <tpl fld="5" item="0"/>
          <tpl fld="4" item="3"/>
          <tpl fld="2" item="0"/>
          <tpl hier="64" item="0"/>
        </tpls>
      </n>
      <n v="72" in="1">
        <tpls c="4">
          <tpl fld="5" item="0"/>
          <tpl fld="4" item="1"/>
          <tpl fld="3" item="5"/>
          <tpl hier="64" item="0"/>
        </tpls>
      </n>
      <n v="281045849.30999988" in="0">
        <tpls c="4">
          <tpl fld="5" item="0"/>
          <tpl fld="4" item="2"/>
          <tpl hier="41" item="4294967295"/>
          <tpl hier="64" item="0"/>
        </tpls>
      </n>
      <n v="2933530.41" in="0">
        <tpls c="4">
          <tpl fld="5" item="0"/>
          <tpl fld="4" item="2"/>
          <tpl fld="2" item="0"/>
          <tpl hier="64" item="0"/>
        </tpls>
      </n>
      <n v="0" in="1">
        <tpls c="4">
          <tpl fld="5" item="0"/>
          <tpl fld="4" item="1"/>
          <tpl fld="3" item="1"/>
          <tpl hier="64" item="0"/>
        </tpls>
      </n>
      <n v="281045849.30999994" in="0">
        <tpls c="4">
          <tpl fld="5" item="0"/>
          <tpl fld="4" item="2"/>
          <tpl fld="1" item="0"/>
          <tpl hier="64" item="0"/>
        </tpls>
      </n>
      <n v="0" in="1">
        <tpls c="4">
          <tpl fld="5" item="0"/>
          <tpl fld="4" item="1"/>
          <tpl fld="3" item="11"/>
          <tpl hier="64" item="0"/>
        </tpls>
      </n>
      <n v="11" in="1">
        <tpls c="4">
          <tpl fld="5" item="0"/>
          <tpl fld="4" item="1"/>
          <tpl fld="3" item="9"/>
          <tpl hier="64" item="0"/>
        </tpls>
      </n>
      <n v="105919" in="1">
        <tpls c="4">
          <tpl fld="5" item="0"/>
          <tpl fld="4" item="3"/>
          <tpl hier="41" item="4294967295"/>
          <tpl hier="64" item="0"/>
        </tpls>
      </n>
      <n v="0" in="0">
        <tpls c="4">
          <tpl fld="5" item="0"/>
          <tpl fld="4" item="0"/>
          <tpl fld="3" item="1"/>
          <tpl hier="64" item="0"/>
        </tpls>
      </n>
      <n v="586663.81999999995" in="0">
        <tpls c="4">
          <tpl fld="5" item="0"/>
          <tpl fld="4" item="0"/>
          <tpl fld="3" item="14"/>
          <tpl hier="64" item="0"/>
        </tpls>
      </n>
      <n v="23296" in="1">
        <tpls c="4">
          <tpl fld="5" item="0"/>
          <tpl fld="4" item="1"/>
          <tpl fld="1" item="0"/>
          <tpl hier="64" item="0"/>
        </tpls>
      </n>
      <n v="0" in="0">
        <tpls c="4">
          <tpl fld="5" item="0"/>
          <tpl fld="4" item="2"/>
          <tpl fld="3" item="1"/>
          <tpl hier="64" item="0"/>
        </tpls>
      </n>
      <n v="794" in="1">
        <tpls c="4">
          <tpl fld="5" item="0"/>
          <tpl fld="4" item="3"/>
          <tpl fld="3" item="5"/>
          <tpl hier="64" item="0"/>
        </tpls>
      </n>
      <n v="250411978.21999994" in="0">
        <tpls c="4">
          <tpl fld="5" item="0"/>
          <tpl fld="4" item="2"/>
          <tpl fld="2" item="4"/>
          <tpl hier="64" item="0"/>
        </tpls>
      </n>
      <n v="64728" in="1">
        <tpls c="4">
          <tpl fld="5" item="0"/>
          <tpl fld="4" item="3"/>
          <tpl fld="2" item="5"/>
          <tpl hier="64" item="0"/>
        </tpls>
      </n>
      <n v="22788" in="0">
        <tpls c="4">
          <tpl fld="5" item="0"/>
          <tpl fld="4" item="2"/>
          <tpl fld="2" item="1"/>
          <tpl hier="64" item="0"/>
        </tpls>
      </n>
      <n v="0" in="0">
        <tpls c="4">
          <tpl fld="5" item="0"/>
          <tpl fld="4" item="2"/>
          <tpl fld="3" item="10"/>
          <tpl hier="64" item="0"/>
        </tpls>
      </n>
      <n v="36601.270000000004" in="0">
        <tpls c="4">
          <tpl fld="5" item="0"/>
          <tpl fld="4" item="2"/>
          <tpl fld="3" item="2"/>
          <tpl hier="64" item="0"/>
        </tpls>
      </n>
      <n v="1354583.7099999997" in="0">
        <tpls c="4">
          <tpl fld="5" item="0"/>
          <tpl fld="4" item="2"/>
          <tpl fld="2" item="5"/>
          <tpl hier="64" item="0"/>
        </tpls>
      </n>
      <n v="0" in="1">
        <tpls c="4">
          <tpl fld="5" item="0"/>
          <tpl fld="4" item="3"/>
          <tpl fld="2" item="2"/>
          <tpl hier="64" item="0"/>
        </tpls>
      </n>
      <n v="21277" in="1">
        <tpls c="4">
          <tpl fld="5" item="0"/>
          <tpl fld="4" item="3"/>
          <tpl fld="3" item="2"/>
          <tpl hier="64" item="0"/>
        </tpls>
      </n>
      <n v="5" in="1">
        <tpls c="4">
          <tpl fld="5" item="0"/>
          <tpl fld="4" item="1"/>
          <tpl fld="3" item="0"/>
          <tpl hier="64" item="0"/>
        </tpls>
      </n>
      <n v="0" in="0">
        <tpls c="4">
          <tpl fld="5" item="0"/>
          <tpl fld="4" item="0"/>
          <tpl fld="3" item="10"/>
          <tpl hier="64" item="0"/>
        </tpls>
      </n>
      <n v="0" in="0">
        <tpls c="4">
          <tpl fld="5" item="0"/>
          <tpl fld="4" item="0"/>
          <tpl fld="3" item="7"/>
          <tpl hier="64" item="0"/>
        </tpls>
      </n>
      <n v="66362344.740000002" in="0">
        <tpls c="4">
          <tpl fld="5" item="0"/>
          <tpl fld="4" item="0"/>
          <tpl fld="1" item="0"/>
          <tpl hier="64" item="0"/>
        </tpls>
      </n>
      <n v="1399" in="1">
        <tpls c="4">
          <tpl fld="5" item="0"/>
          <tpl fld="4" item="3"/>
          <tpl fld="2" item="6"/>
          <tpl hier="64" item="0"/>
        </tpls>
      </n>
      <n v="11348" in="1">
        <tpls c="4">
          <tpl fld="5" item="0"/>
          <tpl fld="4" item="1"/>
          <tpl fld="3" item="6"/>
          <tpl hier="64" item="0"/>
        </tpls>
      </n>
      <n v="26322968.970000003" in="0">
        <tpls c="4">
          <tpl fld="5" item="0"/>
          <tpl fld="4" item="2"/>
          <tpl fld="2" item="6"/>
          <tpl hier="64" item="0"/>
        </tpls>
      </n>
      <n v="2652" in="1">
        <tpls c="4">
          <tpl fld="5" item="0"/>
          <tpl fld="4" item="3"/>
          <tpl fld="3" item="3"/>
          <tpl hier="64" item="0"/>
        </tpls>
      </n>
      <n v="24149228.260000002" in="0">
        <tpls c="4">
          <tpl fld="5" item="0"/>
          <tpl fld="4" item="2"/>
          <tpl fld="3" item="7"/>
          <tpl hier="64" item="0"/>
        </tpls>
      </n>
      <n v="4478196.2699999996" in="0">
        <tpls c="4">
          <tpl fld="5" item="0"/>
          <tpl fld="4" item="0"/>
          <tpl fld="2" item="5"/>
          <tpl hier="64" item="0"/>
        </tpls>
      </n>
      <n v="0" in="0">
        <tpls c="4">
          <tpl fld="5" item="0"/>
          <tpl fld="4" item="0"/>
          <tpl fld="3" item="11"/>
          <tpl hier="64" item="0"/>
        </tpls>
      </n>
      <n v="707" in="1">
        <tpls c="4">
          <tpl fld="5" item="0"/>
          <tpl fld="4" item="1"/>
          <tpl fld="2" item="6"/>
          <tpl hier="64" item="0"/>
        </tpls>
      </n>
      <n v="2676" in="1">
        <tpls c="4">
          <tpl fld="5" item="0"/>
          <tpl fld="4" item="1"/>
          <tpl fld="2" item="5"/>
          <tpl hier="64" item="0"/>
        </tpls>
      </n>
      <n v="1" in="1">
        <tpls c="4">
          <tpl fld="5" item="0"/>
          <tpl fld="4" item="1"/>
          <tpl fld="2" item="1"/>
          <tpl hier="64" item="0"/>
        </tpls>
      </n>
      <n v="142315.41" in="0">
        <tpls c="4">
          <tpl fld="5" item="0"/>
          <tpl fld="4" item="0"/>
          <tpl fld="3" item="9"/>
          <tpl hier="64" item="0"/>
        </tpls>
      </n>
      <n v="0" in="1">
        <tpls c="4">
          <tpl fld="5" item="0"/>
          <tpl fld="4" item="3"/>
          <tpl fld="3" item="10"/>
          <tpl hier="64" item="0"/>
        </tpls>
      </n>
      <n v="0" in="0">
        <tpls c="4">
          <tpl fld="5" item="0"/>
          <tpl fld="4" item="0"/>
          <tpl fld="2" item="3"/>
          <tpl hier="64" item="0"/>
        </tpls>
      </n>
      <n v="0" in="1">
        <tpls c="4">
          <tpl fld="5" item="0"/>
          <tpl fld="4" item="3"/>
          <tpl fld="3" item="8"/>
          <tpl hier="64" item="0"/>
        </tpls>
      </n>
      <n v="50504312.040000014" in="0">
        <tpls c="4">
          <tpl fld="5" item="0"/>
          <tpl fld="4" item="0"/>
          <tpl fld="3" item="13"/>
          <tpl hier="64" item="0"/>
        </tpls>
      </n>
      <n v="105919" in="1">
        <tpls c="4">
          <tpl fld="5" item="0"/>
          <tpl fld="4" item="3"/>
          <tpl fld="1" item="0"/>
          <tpl hier="64" item="0"/>
        </tpls>
      </n>
      <n v="0" in="0">
        <tpls c="4">
          <tpl fld="5" item="0"/>
          <tpl fld="4" item="2"/>
          <tpl fld="3" item="11"/>
          <tpl hier="64" item="0"/>
        </tpls>
      </n>
      <n v="3919" in="1">
        <tpls c="4">
          <tpl fld="5" item="0"/>
          <tpl fld="4" item="3"/>
          <tpl fld="3" item="6"/>
          <tpl hier="64" item="0"/>
        </tpls>
      </n>
      <n v="63310.64" in="0">
        <tpls c="4">
          <tpl fld="5" item="0"/>
          <tpl fld="4" item="0"/>
          <tpl fld="2" item="1"/>
          <tpl hier="64" item="0"/>
        </tpls>
      </n>
      <n v="2187085.34" in="0">
        <tpls c="4">
          <tpl fld="5" item="0"/>
          <tpl fld="4" item="0"/>
          <tpl fld="3" item="6"/>
          <tpl hier="64" item="0"/>
        </tpls>
      </n>
      <n v="0" in="0">
        <tpls c="4">
          <tpl fld="5" item="0"/>
          <tpl fld="4" item="2"/>
          <tpl fld="3" item="19"/>
          <tpl hier="64" item="0"/>
        </tpls>
      </n>
      <n v="1833061.8" in="0">
        <tpls c="4">
          <tpl fld="5" item="0"/>
          <tpl fld="4" item="0"/>
          <tpl fld="3" item="12"/>
          <tpl hier="64" item="0"/>
        </tpls>
      </n>
      <n v="714313.3600000001" in="0">
        <tpls c="4">
          <tpl fld="5" item="0"/>
          <tpl fld="4" item="0"/>
          <tpl fld="3" item="3"/>
          <tpl hier="64" item="0"/>
        </tpls>
      </n>
      <n v="1317982.4399999997" in="0">
        <tpls c="4">
          <tpl fld="5" item="0"/>
          <tpl fld="4" item="2"/>
          <tpl fld="3" item="16"/>
          <tpl hier="64" item="0"/>
        </tpls>
      </n>
      <n v="14613.109999999999" in="0">
        <tpls c="4">
          <tpl fld="5" item="0"/>
          <tpl fld="4" item="0"/>
          <tpl fld="3" item="0"/>
          <tpl hier="64" item="0"/>
        </tpls>
      </n>
      <n v="20281" in="0">
        <tpls c="4">
          <tpl fld="5" item="0"/>
          <tpl fld="4" item="2"/>
          <tpl fld="3" item="9"/>
          <tpl hier="64" item="0"/>
        </tpls>
      </n>
      <n v="2" in="1">
        <tpls c="4">
          <tpl fld="5" item="0"/>
          <tpl fld="4" item="1"/>
          <tpl fld="3" item="8"/>
          <tpl hier="64" item="0"/>
        </tpls>
      </n>
      <n v="602" in="1">
        <tpls c="4">
          <tpl fld="5" item="0"/>
          <tpl fld="4" item="1"/>
          <tpl fld="3" item="7"/>
          <tpl hier="64" item="0"/>
        </tpls>
      </n>
      <n v="39730" in="1">
        <tpls c="4">
          <tpl fld="5" item="0"/>
          <tpl fld="4" item="3"/>
          <tpl fld="2" item="4"/>
          <tpl hier="64" item="0"/>
        </tpls>
      </n>
      <n v="20" in="1">
        <tpls c="4">
          <tpl fld="5" item="0"/>
          <tpl fld="4" item="1"/>
          <tpl fld="3" item="2"/>
          <tpl hier="64" item="0"/>
        </tpls>
      </n>
      <n v="66362344.74000001" in="0">
        <tpls c="4">
          <tpl fld="5" item="0"/>
          <tpl fld="4" item="0"/>
          <tpl hier="41" item="4294967295"/>
          <tpl hier="64" item="0"/>
        </tpls>
      </n>
      <n v="0" in="0">
        <tpls c="4">
          <tpl fld="5" item="0"/>
          <tpl fld="4" item="2"/>
          <tpl fld="2" item="3"/>
          <tpl hier="64" item="0"/>
        </tpls>
      </n>
      <n v="1547828.19" in="0">
        <tpls c="4">
          <tpl fld="5" item="0"/>
          <tpl fld="4" item="2"/>
          <tpl fld="3" item="14"/>
          <tpl hier="64" item="0"/>
        </tpls>
      </n>
      <n v="269621.26" in="0">
        <tpls c="4">
          <tpl fld="5" item="0"/>
          <tpl fld="4" item="0"/>
          <tpl fld="3" item="4"/>
          <tpl hier="64" item="0"/>
        </tpls>
      </n>
      <n v="6" in="1">
        <tpls c="4">
          <tpl fld="5" item="0"/>
          <tpl fld="4" item="3"/>
          <tpl fld="3" item="0"/>
          <tpl hier="64" item="0"/>
        </tpls>
      </n>
      <n v="63310.64" in="0">
        <tpls c="4">
          <tpl fld="5" item="0"/>
          <tpl fld="4" item="0"/>
          <tpl fld="3" item="17"/>
          <tpl hier="64" item="0"/>
        </tpls>
      </n>
      <n v="0" in="1">
        <tpls c="4">
          <tpl fld="5" item="0"/>
          <tpl fld="4" item="1"/>
          <tpl fld="3" item="10"/>
          <tpl hier="64" item="0"/>
        </tpls>
      </n>
      <n v="59481834.790000007" in="0">
        <tpls c="4">
          <tpl fld="5" item="0"/>
          <tpl fld="4" item="0"/>
          <tpl fld="2" item="4"/>
          <tpl hier="64" item="0"/>
        </tpls>
      </n>
      <n v="39" in="1">
        <tpls c="4">
          <tpl fld="5" item="0"/>
          <tpl fld="4" item="1"/>
          <tpl fld="2" item="0"/>
          <tpl hier="64" item="0"/>
        </tpls>
      </n>
      <n v="32" in="1">
        <tpls c="4">
          <tpl fld="5" item="0"/>
          <tpl fld="4" item="1"/>
          <tpl fld="3" item="14"/>
          <tpl hier="64" item="0"/>
        </tpls>
      </n>
      <n v="0" in="1">
        <tpls c="4">
          <tpl fld="5" item="0"/>
          <tpl fld="4" item="1"/>
          <tpl fld="2" item="2"/>
          <tpl hier="64" item="0"/>
        </tpls>
      </n>
      <n v="19873" in="1">
        <tpls c="4">
          <tpl fld="5" item="0"/>
          <tpl fld="4" item="1"/>
          <tpl fld="2" item="4"/>
          <tpl hier="64" item="0"/>
        </tpls>
      </n>
      <n v="0" in="1">
        <tpls c="4">
          <tpl fld="5" item="0"/>
          <tpl fld="4" item="1"/>
          <tpl fld="3" item="4"/>
          <tpl hier="64" item="0"/>
        </tpls>
      </n>
      <n v="605" in="1">
        <tpls c="4">
          <tpl fld="5" item="0"/>
          <tpl fld="4" item="3"/>
          <tpl fld="3" item="18"/>
          <tpl hier="64" item="0"/>
        </tpls>
      </n>
      <n v="15" in="1">
        <tpls c="4">
          <tpl fld="5" item="0"/>
          <tpl fld="4" item="3"/>
          <tpl fld="3" item="14"/>
          <tpl hier="64" item="0"/>
        </tpls>
      </n>
      <n v="0" in="1">
        <tpls c="4">
          <tpl fld="5" item="0"/>
          <tpl fld="4" item="3"/>
          <tpl fld="3" item="1"/>
          <tpl hier="64" item="0"/>
        </tpls>
      </n>
      <n v="0" in="1">
        <tpls c="4">
          <tpl fld="5" item="0"/>
          <tpl fld="4" item="3"/>
          <tpl fld="2" item="3"/>
          <tpl hier="64" item="0"/>
        </tpls>
      </n>
      <n v="1730381.34" in="0">
        <tpls c="4">
          <tpl fld="5" item="0"/>
          <tpl fld="4" item="2"/>
          <tpl fld="3" item="5"/>
          <tpl hier="64" item="0"/>
        </tpls>
      </n>
      <n v="0" in="1">
        <tpls c="4">
          <tpl fld="5" item="0"/>
          <tpl fld="4" item="3"/>
          <tpl fld="3" item="7"/>
          <tpl hier="64" item="0"/>
        </tpls>
      </n>
      <n v="107706.29000000001" in="0">
        <tpls c="4">
          <tpl fld="5" item="0"/>
          <tpl fld="4" item="2"/>
          <tpl fld="3" item="12"/>
          <tpl hier="64" item="0"/>
        </tpls>
      </n>
      <n v="7" in="1">
        <tpls c="4">
          <tpl fld="5" item="0"/>
          <tpl fld="4" item="1"/>
          <tpl fld="3" item="12"/>
          <tpl hier="64" item="0"/>
        </tpls>
      </n>
      <n v="215004514.97999996" in="0">
        <tpls c="4">
          <tpl fld="5" item="0"/>
          <tpl fld="4" item="2"/>
          <tpl fld="3" item="13"/>
          <tpl hier="64" item="0"/>
        </tpls>
      </n>
      <n v="28003" in="1">
        <tpls c="4">
          <tpl fld="5" item="0"/>
          <tpl fld="4" item="3"/>
          <tpl fld="3" item="13"/>
          <tpl hier="64" item="0"/>
        </tpls>
      </n>
      <n v="2790" in="1">
        <tpls c="4">
          <tpl fld="5" item="0"/>
          <tpl fld="4" item="3"/>
          <tpl fld="3" item="15"/>
          <tpl hier="64" item="0"/>
        </tpls>
      </n>
      <n v="6047492.6300000008" in="0">
        <tpls c="4">
          <tpl fld="5" item="0"/>
          <tpl fld="4" item="2"/>
          <tpl fld="3" item="15"/>
          <tpl hier="64" item="0"/>
        </tpls>
      </n>
      <n v="4100746.8400000003" in="0">
        <tpls c="4">
          <tpl fld="5" item="0"/>
          <tpl fld="4" item="0"/>
          <tpl fld="3" item="15"/>
          <tpl hier="64" item="0"/>
        </tpls>
      </n>
      <n v="149" in="1">
        <tpls c="4">
          <tpl fld="5" item="0"/>
          <tpl fld="4" item="1"/>
          <tpl fld="3" item="15"/>
          <tpl hier="64" item="0"/>
        </tpls>
      </n>
      <n v="3332155.4499999997" in="0">
        <tpls c="4">
          <tpl fld="5" item="0"/>
          <tpl fld="4" item="0"/>
          <tpl fld="3" item="16"/>
          <tpl hier="64" item="0"/>
        </tpls>
      </n>
      <n v="2656" in="1">
        <tpls c="4">
          <tpl fld="5" item="0"/>
          <tpl fld="4" item="1"/>
          <tpl fld="3" item="16"/>
          <tpl hier="64" item="0"/>
        </tpls>
      </n>
      <n v="42706" in="1">
        <tpls c="4">
          <tpl fld="5" item="0"/>
          <tpl fld="4" item="3"/>
          <tpl fld="3" item="16"/>
          <tpl hier="64" item="0"/>
        </tpls>
      </n>
      <n v="22788" in="0">
        <tpls c="4">
          <tpl fld="5" item="0"/>
          <tpl fld="4" item="2"/>
          <tpl fld="3" item="17"/>
          <tpl hier="64" item="0"/>
        </tpls>
      </n>
      <n v="1" in="1">
        <tpls c="4">
          <tpl fld="5" item="0"/>
          <tpl fld="4" item="1"/>
          <tpl fld="3" item="17"/>
          <tpl hier="64" item="0"/>
        </tpls>
      </n>
      <n v="41" in="1">
        <tpls c="4">
          <tpl fld="5" item="0"/>
          <tpl fld="4" item="3"/>
          <tpl fld="3" item="17"/>
          <tpl hier="64" item="0"/>
        </tpls>
      </n>
      <n v="443359.37" in="0">
        <tpls c="4">
          <tpl fld="5" item="0"/>
          <tpl fld="4" item="2"/>
          <tpl fld="3" item="18"/>
          <tpl hier="64" item="0"/>
        </tpls>
      </n>
      <n v="593215.87" in="0">
        <tpls c="4">
          <tpl fld="5" item="0"/>
          <tpl fld="4" item="0"/>
          <tpl fld="3" item="18"/>
          <tpl hier="64" item="0"/>
        </tpls>
      </n>
      <n v="33" in="1">
        <tpls c="4">
          <tpl fld="5" item="0"/>
          <tpl fld="4" item="1"/>
          <tpl fld="3" item="18"/>
          <tpl hier="64" item="0"/>
        </tpls>
      </n>
      <n v="0" in="1">
        <tpls c="4">
          <tpl fld="5" item="0"/>
          <tpl fld="4" item="3"/>
          <tpl fld="3" item="19"/>
          <tpl hier="64" item="0"/>
        </tpls>
      </n>
      <n v="0" in="1">
        <tpls c="4">
          <tpl fld="5" item="0"/>
          <tpl fld="4" item="1"/>
          <tpl fld="3" item="19"/>
          <tpl hier="64" item="0"/>
        </tpls>
      </n>
      <n v="0" in="0">
        <tpls c="4">
          <tpl fld="5" item="0"/>
          <tpl fld="4" item="0"/>
          <tpl fld="3" item="19"/>
          <tpl hier="64" item="0"/>
        </tpls>
      </n>
      <n v="1144510.24" in="0">
        <tpls c="4">
          <tpl fld="5" item="0"/>
          <tpl fld="4" item="0"/>
          <tpl fld="3" item="5"/>
          <tpl hier="64" item="0"/>
        </tpls>
      </n>
      <n v="0" in="0">
        <tpls c="4">
          <tpl fld="5" item="0"/>
          <tpl fld="4" item="2"/>
          <tpl fld="2" item="2"/>
          <tpl hier="64" item="0"/>
        </tpls>
      </n>
      <n v="876419.55999999994" in="0">
        <tpls c="4">
          <tpl fld="5" item="0"/>
          <tpl fld="4" item="0"/>
          <tpl fld="3" item="2"/>
          <tpl hier="64" item="0"/>
        </tpls>
      </n>
    </entries>
    <sets count="1">
      <set count="2" maxRank="1" setDefinition="{[Učestalost podataka].[Učestalost podatka].&amp;[7],[Učestalost podataka].[Učestalost podatka].&amp;[8]}">
        <tpls c="1">
          <tpl fld="0" item="0"/>
        </tpls>
      </set>
    </sets>
    <queryCache count="34">
      <query mdx="[Podvrste osiguranja].[hPodvrsteOsiguranja].[Rizik].&amp;[109]">
        <tpls c="1">
          <tpl fld="3" item="0"/>
        </tpls>
      </query>
      <query mdx="[Measures].[Zaračunata bruto premija novih osiguranja s višekratnim plaćanjem premije]">
        <tpls c="1">
          <tpl fld="4" item="0"/>
        </tpls>
      </query>
      <query mdx="[Podvrste osiguranja].[hPodvrsteOsiguranja].[Vrsta osiguranja].&amp;[20]">
        <tpls c="1">
          <tpl fld="2" item="0"/>
        </tpls>
      </query>
      <query mdx="[Podvrste osiguranja].[hPodvrsteOsiguranja].[Vrsta osiguranja].&amp;[22]">
        <tpls c="1">
          <tpl fld="2" item="1"/>
        </tpls>
      </query>
      <query mdx="[Podvrste osiguranja].[hPodvrsteOsiguranja].[Rizik].&amp;[121]">
        <tpls c="1">
          <tpl fld="3" item="1"/>
        </tpls>
      </query>
      <query mdx="[Podvrste osiguranja].[hPodvrsteOsiguranja].[Sve]">
        <tpls c="1">
          <tpl hier="41" item="4294967295"/>
        </tpls>
      </query>
      <query mdx="[Measures].[Broj novih osiguranja s jednokratnim plaćanjem premije]">
        <tpls c="1">
          <tpl fld="4" item="1"/>
        </tpls>
      </query>
      <query mdx="[Podvrste osiguranja].[hPodvrsteOsiguranja].[Rizik].&amp;[114]">
        <tpls c="1">
          <tpl fld="3" item="2"/>
        </tpls>
      </query>
      <query mdx="[Podvrste osiguranja].[hPodvrsteOsiguranja].[Vrsta osiguranja].&amp;[24]">
        <tpls c="1">
          <tpl fld="2" item="2"/>
        </tpls>
      </query>
      <query mdx="[Measures].[Zaračunata bruto premija novih osiguranja s jednokratnim plaćanjem premije]">
        <tpls c="1">
          <tpl fld="4" item="2"/>
        </tpls>
      </query>
      <query mdx="[Podvrste osiguranja].[hPodvrsteOsiguranja].[Rizik].&amp;[99]">
        <tpls c="1">
          <tpl fld="3" item="3"/>
        </tpls>
      </query>
      <query mdx="[Measures].[Broj novih osiguranja s višekratnim plaćanjem premije]">
        <tpls c="1">
          <tpl fld="4" item="3"/>
        </tpls>
      </query>
      <query mdx="[Podvrste osiguranja].[hPodvrsteOsiguranja].[Rizik].&amp;[113]">
        <tpls c="1">
          <tpl fld="3" item="4"/>
        </tpls>
      </query>
      <query mdx="[Podvrste osiguranja].[hPodvrsteOsiguranja].[Vrsta osiguranja].&amp;[25]">
        <tpls c="1">
          <tpl fld="2" item="3"/>
        </tpls>
      </query>
      <query mdx="[Podvrste osiguranja].[hPodvrsteOsiguranja].[Rizik].&amp;[120]">
        <tpls c="1">
          <tpl fld="3" item="5"/>
        </tpls>
      </query>
      <query mdx="[Podvrste osiguranja].[hPodvrsteOsiguranja].[Rizik].&amp;[97]">
        <tpls c="1">
          <tpl fld="3" item="6"/>
        </tpls>
      </query>
      <query mdx="[Podvrste osiguranja].[hPodvrsteOsiguranja].[Rizik].&amp;[119]">
        <tpls c="1">
          <tpl fld="3" item="7"/>
        </tpls>
      </query>
      <query mdx="[Godina Podatka].[Godina podatka].&amp;[2013]">
        <tpls c="1">
          <tpl fld="5" item="0"/>
        </tpls>
      </query>
      <query mdx="[Podvrste osiguranja].[hPodvrsteOsiguranja].[Rizik].&amp;[111]">
        <tpls c="1">
          <tpl fld="3" item="8"/>
        </tpls>
      </query>
      <query mdx="[Podvrste osiguranja].[hPodvrsteOsiguranja].[Vrsta osiguranja].&amp;[19]">
        <tpls c="1">
          <tpl fld="2" item="4"/>
        </tpls>
      </query>
      <query mdx="[Podvrste osiguranja].[hPodvrsteOsiguranja].[Rizik].&amp;[108]">
        <tpls c="1">
          <tpl fld="3" item="9"/>
        </tpls>
      </query>
      <query mdx="[Podvrste osiguranja].[hPodvrsteOsiguranja].[Rizik].&amp;[122]">
        <tpls c="1">
          <tpl fld="3" item="10"/>
        </tpls>
      </query>
      <query mdx="[Podvrste osiguranja].[hPodvrsteOsiguranja].[Rizik].&amp;[118]">
        <tpls c="1">
          <tpl fld="3" item="11"/>
        </tpls>
      </query>
      <query mdx="[Podvrste osiguranja].[hPodvrsteOsiguranja].[Vrsta osiguranja].&amp;[21]">
        <tpls c="1">
          <tpl fld="2" item="5"/>
        </tpls>
      </query>
      <query mdx="[Podvrste osiguranja].[hPodvrsteOsiguranja].[Rizik].&amp;[100]">
        <tpls c="1">
          <tpl fld="3" item="12"/>
        </tpls>
      </query>
      <query mdx="[Podvrste osiguranja].[hPodvrsteOsiguranja].[Rizik].&amp;[96]">
        <tpls c="1">
          <tpl fld="3" item="13"/>
        </tpls>
      </query>
      <query mdx="[Podvrste osiguranja].[hPodvrsteOsiguranja].[Skupina osiguranja].&amp;[2]">
        <tpls c="1">
          <tpl fld="1" item="0"/>
        </tpls>
      </query>
      <query mdx="[Podvrste osiguranja].[hPodvrsteOsiguranja].[Vrsta osiguranja].&amp;[23]">
        <tpls c="1">
          <tpl fld="2" item="6"/>
        </tpls>
      </query>
      <query mdx="[Podvrste osiguranja].[hPodvrsteOsiguranja].[Rizik].&amp;[110]">
        <tpls c="1">
          <tpl fld="3" item="14"/>
        </tpls>
      </query>
      <query mdx="[Podvrste osiguranja].[hPodvrsteOsiguranja].[Rizik].&amp;[98]">
        <tpls c="1">
          <tpl fld="3" item="15"/>
        </tpls>
      </query>
      <query mdx="[Podvrste osiguranja].[hPodvrsteOsiguranja].[Rizik].&amp;[112]">
        <tpls c="1">
          <tpl fld="3" item="16"/>
        </tpls>
      </query>
      <query mdx="[Podvrste osiguranja].[hPodvrsteOsiguranja].[Rizik].&amp;[115]">
        <tpls c="1">
          <tpl fld="3" item="17"/>
        </tpls>
      </query>
      <query mdx="[Podvrste osiguranja].[hPodvrsteOsiguranja].[Rizik].&amp;[116]">
        <tpls c="1">
          <tpl fld="3" item="18"/>
        </tpls>
      </query>
      <query mdx="[Podvrste osiguranja].[hPodvrsteOsiguranja].[Rizik].&amp;[117]">
        <tpls c="1">
          <tpl fld="3" item="19"/>
        </tpls>
      </query>
    </queryCache>
    <serverFormats count="2">
      <serverFormat format="#,##0.00"/>
      <serverFormat format="#,##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Mihaela Premor Andrijanić" refreshedDate="41925.319024421296" backgroundQuery="1" createdVersion="3" refreshedVersion="4" minRefreshableVersion="3" recordCount="0" tupleCache="1" supportSubquery="1" supportAdvancedDrill="1">
  <cacheSource type="external" connectionId="3"/>
  <cacheFields count="13">
    <cacheField name="[Učestalost podataka].[Učestalost podatka].[Učestalost podatka]" caption="Učestalost podatka" numFmtId="0" hierarchy="64" level="1">
      <sharedItems count="1">
        <s v="[Učestalost podataka].[Učestalost podatka].&amp;[11]" c="M-01"/>
      </sharedItems>
    </cacheField>
    <cacheField name="[Društva].[Hierarchy].[Društvo]" caption="Društvo" numFmtId="0" hierarchy="22" level="1">
      <sharedItems count="26">
        <s v="[Društva].[Hierarchy].[Društvo].&amp;[37]" c="ERGO ŽIVOTNO OSIGURANJE D.D ."/>
        <s v="[Društva].[Hierarchy].[Društvo].&amp;[10]" c="JADRANSKO OSIGURANJE D.D."/>
        <s v="[Društva].[Hierarchy].[Društvo].&amp;[18]" c="MERKUR OSIGURANJE D.D."/>
        <s v="[Društva].[Hierarchy].[Društvo].&amp;[21]" c="WIENER OSIGURANJE VIENNA INSURANCE GROUP  D.D"/>
        <s v="[Društva].[Hierarchy].[Društvo].&amp;[20]" c="SUNCE OSIGURANJE D.D."/>
        <s v="[Društva].[Hierarchy].[Društvo].&amp;[31]" c="CROATIA ZDRAVSTVENO OSIGURANJE DD"/>
        <s v="[Društva].[Hierarchy].[Društvo].&amp;[15]" c="BASLER OSIGURANJE ZAGREB D.D. --&gt; UNIQA OSIG."/>
        <s v="[Društva].[Hierarchy].[Društvo].&amp;[41]" c="IZVOR OSIGURANJE D.D."/>
        <s v="[Društva].[Hierarchy].[Društvo].&amp;[23]" c="AGRAM LIFE OSIGURANJE DD"/>
        <s v="[Društva].[Hierarchy].[Društvo].&amp;[35]" c="VELEBIT ŽIVOTNO OSIGURANJE D.D."/>
        <s v="[Društva].[Hierarchy].[Društvo].&amp;[39]" c="SOCIETE GENERALE OSIGURANJE D.D."/>
        <s v="[Društva].[Hierarchy].[Društvo].&amp;[16]" c="GRAWE HRVATSKA D.D"/>
        <s v="[Društva].[Hierarchy].[Društvo].&amp;[32]" c="ERSTE OSIGURANJE VIG D.D."/>
        <s v="[Društva].[Hierarchy].[Društvo].&amp;[29]" c="HOK OSIGURANJE D.D."/>
        <s v="[Društva].[Hierarchy].[Društvo].&amp;[34]" c="VELEBIT OSIGURANJE D.D."/>
        <s v="[Društva].[Hierarchy].[Društvo].&amp;[40]" c="HRVATSKO KREDITNO OSIGURANJE D.D."/>
        <s v="[Društva].[Hierarchy].[Društvo].&amp;[6]" c="TRIGLAV OSIGURANJE D.D."/>
        <s v="[Društva].[Hierarchy].[Društvo].&amp;[197]" c="WÜSTENROT ŽIVOTNO OSIGURANJE D.D ."/>
        <s v="[Društva].[Hierarchy].[Društvo].&amp;[38]" c="ERGO OSIGURANJE D.D"/>
        <s v="[Društva].[Hierarchy].[Društvo].&amp;[8]" c="ALLIANZ ZAGREB D.D"/>
        <s v="[Društva].[Hierarchy].[Društvo].&amp;[12]" c="EUROHERC OSIGURANJE D.D."/>
        <s v="[Društva].[Hierarchy].[Društvo].&amp;[30]" c="GENERALI OSIGURANJE D.D."/>
        <s v="[Društva].[Hierarchy].[Društvo].&amp;[33]" c="BNP PARIBAS CARDIF OSIGURANJE D.D"/>
        <s v="[Društva].[Hierarchy].[Društvo].&amp;[25]" c="UNIQA OSIGURANJE D.D."/>
        <s v="[Društva].[Hierarchy].[Društvo].&amp;[36]" c="KD LIFE OSIGURANJE D.D."/>
        <s v="[Društva].[Hierarchy].[Društvo].&amp;[5]" c="CROATIA OSIGURANJE D.D."/>
      </sharedItems>
    </cacheField>
    <cacheField name="[Rizici].[hSkupineRiziciOsiguranja].[Skupina osiguranja]" caption="Skupina osiguranja" numFmtId="0" hierarchy="54" level="1">
      <sharedItems count="2">
        <s v="[Rizici].[hSkupineRiziciOsiguranja].[Skupina osiguranja].&amp;[1]" c="Neživot"/>
        <s v="[Rizici].[hSkupineRiziciOsiguranja].[Skupina osiguranja].&amp;[2]" c="Život"/>
      </sharedItems>
    </cacheField>
    <cacheField name="[Rizici].[hSkupineRiziciOsiguranja].[Vrsta osiguranja]" caption="Vrsta osiguranja" numFmtId="0" hierarchy="54" level="2">
      <sharedItems count="25">
        <s v="[Rizici].[hSkupineRiziciOsiguranja].[Vrsta osiguranja].&amp;[16]" c="16 OSIGURANJE RAZNIH FINANCIJSKIH GUBITAKA"/>
        <s v="[Rizici].[hSkupineRiziciOsiguranja].[Vrsta osiguranja].&amp;[24]" c="24 TONTINE"/>
        <s v="[Rizici].[hSkupineRiziciOsiguranja].[Vrsta osiguranja].&amp;[20]" c="20 RENTNO OSIGURANJE"/>
        <s v="[Rizici].[hSkupineRiziciOsiguranja].[Vrsta osiguranja].&amp;[9]" c="09 OSTALA OSIGURANJA IMOVINE"/>
        <s v="[Rizici].[hSkupineRiziciOsiguranja].[Vrsta osiguranja].&amp;[13]" c="13 OSTALA OSIGURANJA OD ODGOVORNOSTI"/>
        <s v="[Rizici].[hSkupineRiziciOsiguranja].[Vrsta osiguranja].&amp;[1]" c="01 OSIGURANJE OD NEZGODE"/>
        <s v="[Rizici].[hSkupineRiziciOsiguranja].[Vrsta osiguranja].&amp;[10]" c="10 OSIGURANJE OD ODGOVORNOSTI ZA UPOTREBU MOTORNIH VOZILA"/>
        <s v="[Rizici].[hSkupineRiziciOsiguranja].[Vrsta osiguranja].&amp;[3]" c="03 OSIGURANJE CESTOVNIH VOZILA - KASKO"/>
        <s v="[Rizici].[hSkupineRiziciOsiguranja].[Vrsta osiguranja].&amp;[14]" c="14 OSIGURANJE KREDITA"/>
        <s v="[Rizici].[hSkupineRiziciOsiguranja].[Vrsta osiguranja].&amp;[22]" c="22 OSIGURANJE ZA SLUČAJ VJENČANJA ILI ROĐENJA"/>
        <s v="[Rizici].[hSkupineRiziciOsiguranja].[Vrsta osiguranja].&amp;[23]" c="23 ŽIVOTNA ILI RENTNA OSIGURANJA KOD KOJIH OSIGURANIK NA SEBE PREUZIMA INVESTICIJSKI RIZIK"/>
        <s v="[Rizici].[hSkupineRiziciOsiguranja].[Vrsta osiguranja].&amp;[8]" c="08 OSIGURANJE OD POŽARA I ELEMENTARNIH ŠTETA"/>
        <s v="[Rizici].[hSkupineRiziciOsiguranja].[Vrsta osiguranja].&amp;[19]" c="19 ŽIVOTNO OSIGURANJE"/>
        <s v="[Rizici].[hSkupineRiziciOsiguranja].[Vrsta osiguranja].&amp;[12]" c="12 OSIGURANJE OD ODGOVORNOSTI ZA UPOTREBU PLOVILA"/>
        <s v="[Rizici].[hSkupineRiziciOsiguranja].[Vrsta osiguranja].&amp;[18]" c="18 PUTNO OSIGURANJE"/>
        <s v="[Rizici].[hSkupineRiziciOsiguranja].[Vrsta osiguranja].&amp;[21]" c="21 DODATNA OSIGURANJA UZ ŽIVOTNO OSIGURANJE"/>
        <s v="[Rizici].[hSkupineRiziciOsiguranja].[Vrsta osiguranja].&amp;[7]" c="07 OSIGURANJE ROBE U PRIJEVOZU"/>
        <s v="[Rizici].[hSkupineRiziciOsiguranja].[Vrsta osiguranja].&amp;[11]" c="11 OSIGURANJE OD ODGOVORNOSTI ZA UPOTREBU ZRAČNIH LETJELICA"/>
        <s v="[Rizici].[hSkupineRiziciOsiguranja].[Vrsta osiguranja].&amp;[17]" c="17 OSIGURANJE TROŠKOVA PRAVNE ZAŠTITE"/>
        <s v="[Rizici].[hSkupineRiziciOsiguranja].[Vrsta osiguranja].&amp;[25]" c="25 OSIGURANJE S KAPITALIZACIJOM ISPLATE"/>
        <s v="[Rizici].[hSkupineRiziciOsiguranja].[Vrsta osiguranja].&amp;[4]" c="04 OSIGURANJE TRAČNIH VOZILA - KASKO"/>
        <s v="[Rizici].[hSkupineRiziciOsiguranja].[Vrsta osiguranja].&amp;[15]" c="15 OSIGURANJE JAMSTVA"/>
        <s v="[Rizici].[hSkupineRiziciOsiguranja].[Vrsta osiguranja].&amp;[6]" c="06 OSIGURANJE PLOVILA"/>
        <s v="[Rizici].[hSkupineRiziciOsiguranja].[Vrsta osiguranja].&amp;[2]" c="02 ZDRAVSTVENO OSIGURANJE"/>
        <s v="[Rizici].[hSkupineRiziciOsiguranja].[Vrsta osiguranja].&amp;[5]" c="05 OSIGURANJE ZRAČNIH LETJELICA - KASKO"/>
      </sharedItems>
    </cacheField>
    <cacheField name="[Podvrste osiguranja].[hPodvrsteOsiguranja].[Skupina osiguranja]" caption="Skupina osiguranja" numFmtId="0" hierarchy="41" level="1">
      <sharedItems containsSemiMixedTypes="0" containsString="0"/>
    </cacheField>
    <cacheField name="[Podvrste osiguranja].[hPodvrsteOsiguranja].[Vrsta osiguranja]" caption="Vrsta osiguranja" numFmtId="0" hierarchy="41" level="2">
      <sharedItems containsSemiMixedTypes="0" containsString="0"/>
    </cacheField>
    <cacheField name="[Podvrste osiguranja].[hPodvrsteOsiguranja].[Rizik]" caption="Rizik" numFmtId="0" hierarchy="41" level="3">
      <sharedItems count="20">
        <s v="[Podvrste osiguranja].[hPodvrsteOsiguranja].[Rizik].&amp;[110]" c="20.02 OSIGURANJE OSOBNE RENTE S ODREĐENIM TRAJANJEM"/>
        <s v="[Podvrste osiguranja].[hPodvrsteOsiguranja].[Rizik].&amp;[109]" c="20.01 OSIGURANJE OSOBNE DOŽIVOTNE RENTE"/>
        <s v="[Podvrste osiguranja].[hPodvrsteOsiguranja].[Rizik].&amp;[108]" c="19.99 OSTALA OSIGURANJA ŽIVOTA"/>
        <s v="[Podvrste osiguranja].[hPodvrsteOsiguranja].[Rizik].&amp;[114]" c="21.99 OSTALA DOPUNSKA OSIGURANJA UZ OSIGURANJE ŽIVOTA"/>
        <s v="[Podvrste osiguranja].[hPodvrsteOsiguranja].[Rizik].&amp;[117]" c="23.02 OSIGURANJE ZA SLUČAJ SMRTI KOD KOJEG OSIGURANIK NA SEBE PREUZIMA INVESTICIJSKI RIZIK"/>
        <s v="[Podvrste osiguranja].[hPodvrsteOsiguranja].[Rizik].&amp;[119]" c="23.04 ŽIVOTNO OSIGURANJE KOD KOJEG OSIGURANIK NA SEBE PREUZIMA INVESTICIJSKI RIZIK S GARANCIJOM ISPLATE"/>
        <s v="[Podvrste osiguranja].[hPodvrsteOsiguranja].[Rizik].&amp;[115]" c="22.01 OSIGURANJE ZA SLUČAJ VJENČANJA ILI ROĐENJA"/>
        <s v="[Podvrste osiguranja].[hPodvrsteOsiguranja].[Rizik].&amp;[100]" c="19.05 OSIGURANJE KRITIČNIH BOLESTI"/>
        <s v="[Podvrste osiguranja].[hPodvrsteOsiguranja].[Rizik].&amp;[120]" c="23.99 OSTALA ŽIVOTNA OSIGURANJA KOD KOJIH OSIGURANIK NA SEBE PREUZIMA INVESTICIJSKI RIZIK"/>
        <s v="[Podvrste osiguranja].[hPodvrsteOsiguranja].[Rizik].&amp;[121]" c="24.01 TONTINE"/>
        <s v="[Podvrste osiguranja].[hPodvrsteOsiguranja].[Rizik].&amp;[98]" c="19.03 OSIGURANJE ZA SLUČAJ DOŽIVLJENJA"/>
        <s v="[Podvrste osiguranja].[hPodvrsteOsiguranja].[Rizik].&amp;[112]" c="21.01 DOPUNSKO OSIGURANJE OD POSLJEDICA NEZGODE UZ OSIGURANJE ŽIVOTA"/>
        <s v="[Podvrste osiguranja].[hPodvrsteOsiguranja].[Rizik].&amp;[116]" c="23.01 OSIG. ŽIVOTA ZA SLUČAJ SMRTI I DOŽIVLJENJA KOD KOJEG OSIGURANIK NA SEBE PREUZIMA INV. RIZIK"/>
        <s v="[Podvrste osiguranja].[hPodvrsteOsiguranja].[Rizik].&amp;[99]" c="19.04 DOŽIVOTNO OSIGURANJE ZA SLUČAJ SMRTI"/>
        <s v="[Podvrste osiguranja].[hPodvrsteOsiguranja].[Rizik].&amp;[97]" c="19.02 OSIGURANJE ZA SLUČAJ SMRTI"/>
        <s v="[Podvrste osiguranja].[hPodvrsteOsiguranja].[Rizik].&amp;[122]" c="25.01 OSIGURANJE S KAPITALIZACIJOM ISPLATE"/>
        <s v="[Podvrste osiguranja].[hPodvrsteOsiguranja].[Rizik].&amp;[118]" c="23.03 OSIGURANJE ZA SLUČAJ DOŽIVLJENJA KOD KOJEG OSIGURANIK NA SEBE PREUZIMA INVESTICIJSKI RIZIK"/>
        <s v="[Podvrste osiguranja].[hPodvrsteOsiguranja].[Rizik].&amp;[113]" c="21.02 DOPUNSKO ZDRAVSTVENO OSIGURANJE UZ OSIGURANJE ŽIVOTA"/>
        <s v="[Podvrste osiguranja].[hPodvrsteOsiguranja].[Rizik].&amp;[96]" c="19.01 OSIGURANJE ŽIVOTA ZA SLUČAJ SMRTI I DOŽIVLJENJA (MJEŠOVITO OSIGURANJE)"/>
        <s v="[Podvrste osiguranja].[hPodvrsteOsiguranja].[Rizik].&amp;[111]" c="20.99 OSTALA RENTNA OSIGURANJA"/>
      </sharedItems>
    </cacheField>
    <cacheField name="[Godina Podatka].[Godina podatka].[Godina podatka]" caption="Godina podatka" numFmtId="0" hierarchy="35" level="1">
      <sharedItems count="2">
        <s v="[Godina Podatka].[Godina podatka].&amp;[2014]" c="2014"/>
        <s v="[Godina Podatka].[Godina podatka].&amp;[2013]" c="2013"/>
      </sharedItems>
    </cacheField>
    <cacheField name="[Measures].[MeasuresLevel]" caption="MeasuresLevel" numFmtId="0" hierarchy="39">
      <sharedItems count="8">
        <s v="[Measures].[Zaračunata bruto premija osiguranja- rizici]" c="Zaračunata bruto premija osiguranja- rizici"/>
        <s v="[Measures].[Broj novih osiguranja s jednokratnim plaćanjem premije]" c="Broj novih osiguranja s jednokratnim plaćanjem premije"/>
        <s v="[Measures].[Broj novih osiguranja s višekratnim plaćanjem premije]" c="Broj novih osiguranja s višekratnim plaćanjem premije"/>
        <s v="[Measures].[Broj osiguranja- rizici]" c="Broj osiguranja- rizici"/>
        <s v="[Measures].[Broj šteta - rizici]" c="Broj šteta - rizici"/>
        <s v="[Measures].[Likvidirane štete bruto - rizici]" c="Likvidirane štete bruto - rizici"/>
        <s v="[Measures].[Zaračunata bruto premija novih osiguranja s jednokratnim plaćanjem premije]" c="Zaračunata bruto premija novih osiguranja s jednokratnim plaćanjem premije"/>
        <s v="[Measures].[Zaračunata bruto premija novih osiguranja s višekratnim plaćanjem premije]" c="Zaračunata bruto premija novih osiguranja s višekratnim plaćanjem premije"/>
      </sharedItems>
    </cacheField>
    <cacheField name="[Skupine osiguranja].[Skupina osiguranja].[Skupina osiguranja]" caption="Skupina osiguranja" numFmtId="0" hierarchy="60" level="1">
      <sharedItems count="2">
        <s v="[Skupine osiguranja].[Skupina osiguranja].&amp;[1]" c="Neživot"/>
        <s v="[Skupine osiguranja].[Skupina osiguranja].&amp;[2]" c="Život"/>
      </sharedItems>
    </cacheField>
    <cacheField name="[Rizici].[hSkupineRiziciOsiguranja].[Rizik]" caption="Rizik" numFmtId="0" hierarchy="54" level="3">
      <sharedItems count="112">
        <s v="[Rizici].[hSkupineRiziciOsiguranja].[Rizik].&amp;[9]" c="02.01 OBVEZNO OSIG. NAKNADE TROŠKOVA ZA SLUČAJ OZLJEDE NA RADU I PROF. BOL."/>
        <s v="[Rizici].[hSkupineRiziciOsiguranja].[Rizik].&amp;[52]" c="10.99 OSTALA OSIGURANJA OD AUTOMOBILSKE ODGOVORNOSTI"/>
        <s v="[Rizici].[hSkupineRiziciOsiguranja].[Rizik].&amp;[109]" c="20.01 OSIGURANJE OSOBNE DOŽIVOTNE RENTE"/>
        <s v="[Rizici].[hSkupineRiziciOsiguranja].[Rizik].&amp;[37]" c="09.02 OSIGURANJE OD PROVALNE KRAĐE I RAZBOJSTVA"/>
        <s v="[Rizici].[hSkupineRiziciOsiguranja].[Rizik].&amp;[60]" c="13.02 OSIGURANJE UGOVORNE ODGOVORNOSTI IZVOĐAČA MONTAŽNIH RADOVA"/>
        <s v="[Rizici].[hSkupineRiziciOsiguranja].[Rizik].&amp;[120]" c="23.99 OSTALA ŽIVOTNA OSIGURANJA KOD KOJIH OSIGURANIK NA SEBE PREUZIMA INVESTICIJSKI RIZIK"/>
        <s v="[Rizici].[hSkupineRiziciOsiguranja].[Rizik].&amp;[38]" c="09.03 OSIGURANJE STAKLA OD LOMA"/>
        <s v="[Rizici].[hSkupineRiziciOsiguranja].[Rizik].&amp;[70]" c="13.12 OSIGURANJE OD ODGOVORNOSTI REVIZORSKIH TVRTKI"/>
        <s v="[Rizici].[hSkupineRiziciOsiguranja].[Rizik].&amp;[97]" c="19.02 OSIGURANJE ZA SLUČAJ SMRTI"/>
        <s v="[Rizici].[hSkupineRiziciOsiguranja].[Rizik].&amp;[71]" c="13.13 OSIGURANJE OD ODGOVORNOSTI ŠPEDITERA"/>
        <s v="[Rizici].[hSkupineRiziciOsiguranja].[Rizik].&amp;[2]" c="01.02 OSIGURANJE OSOBA OD POSLJEDICA NEZGODE U MOTORNIM VOZILIMA I PRI POSEBNIM DJELATNOSTIMA"/>
        <s v="[Rizici].[hSkupineRiziciOsiguranja].[Rizik].&amp;[25]" c="06.04 KASKO OSIGURANJE BRODOVA U IZGRADNJI"/>
        <s v="[Rizici].[hSkupineRiziciOsiguranja].[Rizik].&amp;[1]" c="01.01 OSIGURANJE OSOBA OD POSLJEDICA NEZGODE PRI I IZVAN REDOVNOG ZANIMANJA"/>
        <s v="[Rizici].[hSkupineRiziciOsiguranja].[Rizik].&amp;[55]" c="12.01 OSIG. OD ODG. VLASNIKA ODNOSNO KORISNIKA POMORSKIH BRODOVA"/>
        <s v="[Rizici].[hSkupineRiziciOsiguranja].[Rizik].&amp;[3]" c="01.03 OSIGURANJE DJECE I ŠKOLSKE MLADEŽI OD POSLJEDICA NEZGODE I POS. OSIG. MLADEŽI OD POSLJEDICA NEZGODE"/>
        <s v="[Rizici].[hSkupineRiziciOsiguranja].[Rizik].&amp;[24]" c="06.03 KASKO OSIGURANJE BRODOVA I ČAMACA U JEZERSKOJ PLOVIDBI"/>
        <s v="[Rizici].[hSkupineRiziciOsiguranja].[Rizik].&amp;[122]" c="25.01 OSIGURANJE S KAPITALIZACIJOM ISPLATE"/>
        <s v="[Rizici].[hSkupineRiziciOsiguranja].[Rizik].&amp;[34]" c="08.02 OSIGURANJE OD POŽARA I ELEMENTARNIH NEPOGODA U INDUSTRIJI I OBRTU"/>
        <s v="[Rizici].[hSkupineRiziciOsiguranja].[Rizik].&amp;[93]" c="18.03 PUTNO ZDRAVSTVENO OSIGURANJE"/>
        <s v="[Rizici].[hSkupineRiziciOsiguranja].[Rizik].&amp;[47]" c="09.12 OSIGURANJE ŽIVOTINJA"/>
        <s v="[Rizici].[hSkupineRiziciOsiguranja].[Rizik].&amp;[41]" c="09.06 OSIGURANJE OBJEKATA U MONTAŽI"/>
        <s v="[Rizici].[hSkupineRiziciOsiguranja].[Rizik].&amp;[85]" c="16.02 OSIGURANJE FINANCIJSKIH GUBITAKA RADI PREKIDA RADA ZBOG LOMA STROJEVA"/>
        <s v="[Rizici].[hSkupineRiziciOsiguranja].[Rizik].&amp;[31]" c="07.04 OSIGURANJE ROBE ZA VRIJEME USKLADIŠTENJA"/>
        <s v="[Rizici].[hSkupineRiziciOsiguranja].[Rizik].&amp;[48]" c="09.99 OSTALA OSIGURANJA IMOVINE"/>
        <s v="[Rizici].[hSkupineRiziciOsiguranja].[Rizik].&amp;[63]" c="13.05 OSIGURANJE OD ODGOVORNOSTI U ŽELJEZNIČKOM PROMETU"/>
        <s v="[Rizici].[hSkupineRiziciOsiguranja].[Rizik].&amp;[117]" c="23.02 OSIGURANJE ZA SLUČAJ SMRTI KOD KOJEG OSIGURANIK NA SEBE PREUZIMA INVESTICIJSKI RIZIK"/>
        <s v="[Rizici].[hSkupineRiziciOsiguranja].[Rizik].&amp;[77]" c="13.19 OSIGURANJE OD ODGOVORNOSTI STEČAJNIH UPRAVITELJA"/>
        <s v="[Rizici].[hSkupineRiziciOsiguranja].[Rizik].&amp;[57]" c="12.03 OBVEZNO OSIG. OD ODG. VLASNIKA ODNOSNO KORISNIKA BRODICA NA MOTORNI POGON ZA ŠTETE TREĆIM OSOBAMA"/>
        <s v="[Rizici].[hSkupineRiziciOsiguranja].[Rizik].&amp;[16]" c="03.01 KASKO OSIGURANJE CESTOVNIH MOTORNIH VOZILA NA VLASTITI POGON"/>
        <s v="[Rizici].[hSkupineRiziciOsiguranja].[Rizik].&amp;[79]" c="14.01 OSIGURANJE IZVOZNIH POTRAŽIVANJA"/>
        <s v="[Rizici].[hSkupineRiziciOsiguranja].[Rizik].&amp;[89]" c="16.99 OSTALA OSIGURANJA FINANCIJSKIH GUBITAKA"/>
        <s v="[Rizici].[hSkupineRiziciOsiguranja].[Rizik].&amp;[119]" c="23.04 ŽIVOTNO OSIGURANJE KOD KOJEG OSIGURANIK NA SEBE PREUZIMA INVESTICIJSKI RIZIK S GARANCIJOM ISPLATE"/>
        <s v="[Rizici].[hSkupineRiziciOsiguranja].[Rizik].&amp;[69]" c="13.11 OSIGURANJE OD ODGOVORNOSTI JAVNIH BILJEŽNIKA"/>
        <s v="[Rizici].[hSkupineRiziciOsiguranja].[Rizik].&amp;[45]" c="09.10 OSIGURANJE ZALIHA U HLADNJAČAMA"/>
        <s v="[Rizici].[hSkupineRiziciOsiguranja].[Rizik].&amp;[58]" c="12.99 OSTALA OSIGURANJA OD ODGOVORNOSTI ZA UPOTREBU PLOVILA"/>
        <s v="[Rizici].[hSkupineRiziciOsiguranja].[Rizik].&amp;[7]" c="01.07 OBVEZNO OSIGURANJE PUTNIKA U JAVNOM PRIJEVOZU OD POSLJEDICA NEZGODE"/>
        <s v="[Rizici].[hSkupineRiziciOsiguranja].[Rizik].&amp;[121]" c="24.01 TONTINE"/>
        <s v="[Rizici].[hSkupineRiziciOsiguranja].[Rizik].&amp;[26]" c="06.05 KASKO OSIGURANJE PLATFORMI"/>
        <s v="[Rizici].[hSkupineRiziciOsiguranja].[Rizik].&amp;[30]" c="07.03 OSIGURANJE ROBE U KOPNENOM PRIJEVOZU"/>
        <s v="[Rizici].[hSkupineRiziciOsiguranja].[Rizik].&amp;[20]" c="05.01 KASKO OSIGURANJE ZRAČNIH LETJELICA"/>
        <s v="[Rizici].[hSkupineRiziciOsiguranja].[Rizik].&amp;[42]" c="09.07 OSIGURANJE FILMSKE DJELATNOSTI"/>
        <s v="[Rizici].[hSkupineRiziciOsiguranja].[Rizik].&amp;[23]" c="06.02 KASKO OSIGURANJE BRODOVA I ČAMACA U RIJEČNOJ PLOVIDBI"/>
        <s v="[Rizici].[hSkupineRiziciOsiguranja].[Rizik].&amp;[95]" c="18.99 OSTALA OSIGURANJA TURISTIČKIH RIZIKA"/>
        <s v="[Rizici].[hSkupineRiziciOsiguranja].[Rizik].&amp;[83]" c="15.02 OSIGURANJE GARANCIJA"/>
        <s v="[Rizici].[hSkupineRiziciOsiguranja].[Rizik].&amp;[86]" c="16.03 OSIGURANJE RAZNIH PRIREDBI ZBOG ATMOSFERSKIH OBORINA"/>
        <s v="[Rizici].[hSkupineRiziciOsiguranja].[Rizik].&amp;[17]" c="03.02 KASKO OSIGURANJE CESTOVNIH VOZILA BEZ VLASTITOG POGONA"/>
        <s v="[Rizici].[hSkupineRiziciOsiguranja].[Rizik].&amp;[115]" c="22.01 OSIGURANJE ZA SLUČAJ VJENČANJA ILI ROĐENJA"/>
        <s v="[Rizici].[hSkupineRiziciOsiguranja].[Rizik].&amp;[22]" c="06.01 KASKO OSIGURANJE BRODOVA I BRODICA U POMORSKOJ PLOVIDBI"/>
        <s v="[Rizici].[hSkupineRiziciOsiguranja].[Rizik].&amp;[53]" c="11.01 OBV. OSIG. VLASNIKA ODNOSNO KORISNIKA ZRAČNIH LETJELICA OD ODG. ZA ŠTETE TREĆIM OSOBAMA"/>
        <s v="[Rizici].[hSkupineRiziciOsiguranja].[Rizik].&amp;[73]" c="13.15 OSIGURANJE OD ODGOVORNOSTI BRODOPOPRAVLJAČA"/>
        <s v="[Rizici].[hSkupineRiziciOsiguranja].[Rizik].&amp;[28]" c="07.01 OSIGURANJE ROBE U POMORSKOM PRIJEVOZU"/>
        <s v="[Rizici].[hSkupineRiziciOsiguranja].[Rizik].&amp;[15]" c="02.99 OSTALA DRAGOVOLJNA ZDRAVSTVENA OSIGURANJA"/>
        <s v="[Rizici].[hSkupineRiziciOsiguranja].[Rizik].&amp;[80]" c="14.02 OSIGURANJE DRUGIH VRSTA POTRAŽIVANJA"/>
        <s v="[Rizici].[hSkupineRiziciOsiguranja].[Rizik].&amp;[29]" c="07.02 OSIGURANJE ROBE U AVIONSKOM PRIJEVOZU"/>
        <s v="[Rizici].[hSkupineRiziciOsiguranja].[Rizik].&amp;[100]" c="19.05 OSIGURANJE KRITIČNIH BOLESTI"/>
        <s v="[Rizici].[hSkupineRiziciOsiguranja].[Rizik].&amp;[35]" c="08.99 OSTALA OSIGURANJA OD POŽARA I ELEMENTARNIH NEPOGODA"/>
        <s v="[Rizici].[hSkupineRiziciOsiguranja].[Rizik].&amp;[81]" c="14.03 OSIGURANJE STAMBENIH KREDITA"/>
        <s v="[Rizici].[hSkupineRiziciOsiguranja].[Rizik].&amp;[76]" c="13.18 OSIGURANJE OD ODGOVORNOSTI IZ OBAVLJANJA LIJEČNIČKE, STOMATOLOŠKE I LJEKARNIČKE DJELATNOSTI"/>
        <s v="[Rizici].[hSkupineRiziciOsiguranja].[Rizik].&amp;[56]" c="12.02 OSIG. OD ODG. VLASNIKA ODNOSNO KORISNIKA RIJEČNIH I JEZERSKIH PLOVILA"/>
        <s v="[Rizici].[hSkupineRiziciOsiguranja].[Rizik].&amp;[19]" c="04.01 KASKO OSIGURANJE TRAČNIH VOZILA"/>
        <s v="[Rizici].[hSkupineRiziciOsiguranja].[Rizik].&amp;[54]" c="11.02 OSIG. VLASNIKA ODN. KORIS. ZRAČNIH LETJELICA OD ODG. SVIH VRSTA"/>
        <s v="[Rizici].[hSkupineRiziciOsiguranja].[Rizik].&amp;[116]" c="23.01 OSIG. ŽIVOTA ZA SLUČAJ SMRTI I DOŽIVLJENJA KOD KOJEG OSIGURANIK NA SEBE PREUZIMA INV. RIZIK"/>
        <s v="[Rizici].[hSkupineRiziciOsiguranja].[Rizik].&amp;[96]" c="19.01 OSIGURANJE ŽIVOTA ZA SLUČAJ SMRTI I DOŽIVLJENJA (MJEŠOVITO OSIGURANJE)"/>
        <s v="[Rizici].[hSkupineRiziciOsiguranja].[Rizik].&amp;[99]" c="19.04 DOŽIVOTNO OSIGURANJE ZA SLUČAJ SMRTI"/>
        <s v="[Rizici].[hSkupineRiziciOsiguranja].[Rizik].&amp;[78]" c="13.99 OSTALA OSIGURANJA OD ODGOVORNOSTI"/>
        <s v="[Rizici].[hSkupineRiziciOsiguranja].[Rizik].&amp;[62]" c="13.04 OSIGURANJE OD ODGOVORNOSTI PROIZVOĐAČA ZA PROIZVODE"/>
        <s v="[Rizici].[hSkupineRiziciOsiguranja].[Rizik].&amp;[87]" c="16.04 OSIGURANJE OD ŠTETA ZBOG OTKUPA KRIVOTVORENIH INOZEMNIH SREDSTAVA PLAĆANJA"/>
        <s v="[Rizici].[hSkupineRiziciOsiguranja].[Rizik].&amp;[46]" c="09.11 OSIGURANJE USJEVA I NASADA"/>
        <s v="[Rizici].[hSkupineRiziciOsiguranja].[Rizik].&amp;[61]" c="13.03 OSIGURANJE OD ODGOVORNOSTI PROIZVOĐAČA FILMOVA"/>
        <s v="[Rizici].[hSkupineRiziciOsiguranja].[Rizik].&amp;[111]" c="20.99 OSTALA RENTNA OSIGURANJA"/>
        <s v="[Rizici].[hSkupineRiziciOsiguranja].[Rizik].&amp;[91]" c="18.01 TURISTIČKO OSIGURANJE"/>
        <s v="[Rizici].[hSkupineRiziciOsiguranja].[Rizik].&amp;[21]" c="05.02 KASKO OSIGURANJE ZRAČNIH PLOVILA"/>
        <s v="[Rizici].[hSkupineRiziciOsiguranja].[Rizik].&amp;[40]" c="09.05 OSIGURANJE GRAĐEVINSKIH OBJEKATA U IZGRADNJI"/>
        <s v="[Rizici].[hSkupineRiziciOsiguranja].[Rizik].&amp;[4]" c="01.04 OSIGURANJE GOSTIJU, POSJETITELJA PRIREDBI, IZLETNIKA I TURISTA OD POSLJEDICA NEZGODE"/>
        <s v="[Rizici].[hSkupineRiziciOsiguranja].[Rizik].&amp;[36]" c="09.01 OSIGURANJE STROJEVA OD LOMA"/>
        <s v="[Rizici].[hSkupineRiziciOsiguranja].[Rizik].&amp;[108]" c="19.99 OSTALA OSIGURANJA ŽIVOTA"/>
        <s v="[Rizici].[hSkupineRiziciOsiguranja].[Rizik].&amp;[51]" c="10.03 OSIG. OD ODGOVORNOSTI VOZARA ZA ROBU PRIMLJENU NA PRIJEVOZ U CESTOVNOM PROMETU"/>
        <s v="[Rizici].[hSkupineRiziciOsiguranja].[Rizik].&amp;[59]" c="13.01 OSIGURANJE UGOVORNE ODGOVORNOSTI IZVOĐAČA GRAĐEVINSKIH RADOVA"/>
        <s v="[Rizici].[hSkupineRiziciOsiguranja].[Rizik].&amp;[90]" c="17.01 OSIGURANJE TROŠKOVA PRAVNE ZAŠTITE I TROŠKOVA SUDSKOG POSTUPKA"/>
        <s v="[Rizici].[hSkupineRiziciOsiguranja].[Rizik].&amp;[88]" c="16.05 OSIGURANJE OPASNOSTI OTKAZA TURISTIČKIH PUTOVANJA"/>
        <s v="[Rizici].[hSkupineRiziciOsiguranja].[Rizik].&amp;[8]" c="01.99 OSTALA OSIGURANJA OD POSLJEDICA NEZGODE"/>
        <s v="[Rizici].[hSkupineRiziciOsiguranja].[Rizik].&amp;[27]" c="06.99 OSTALA KASKO OSIGURANJA PLOVILA"/>
        <s v="[Rizici].[hSkupineRiziciOsiguranja].[Rizik].&amp;[66]" c="13.08 OSIGURANJE OD ODG. PROJEKTNIH I DRUGIH DRUŠTAVA ZA ŠTETE NA OBJEKTIMA ZBOG NISPRAVNE TEH. DOK."/>
        <s v="[Rizici].[hSkupineRiziciOsiguranja].[Rizik].&amp;[44]" c="09.09 OSIGURANJE INFORMATIČKE OPREME"/>
        <s v="[Rizici].[hSkupineRiziciOsiguranja].[Rizik].&amp;[72]" c="13.14 OSIGURANJE OD ODGOVORNOSTI VLASNIKA ODNOSNO KORISNIKA MARINE"/>
        <s v="[Rizici].[hSkupineRiziciOsiguranja].[Rizik].&amp;[82]" c="15.01 OSIGURANJE JAMSTVA"/>
        <s v="[Rizici].[hSkupineRiziciOsiguranja].[Rizik].&amp;[113]" c="21.02 DOPUNSKO ZDRAVSTVENO OSIGURANJE UZ OSIGURANJE ŽIVOTA"/>
        <s v="[Rizici].[hSkupineRiziciOsiguranja].[Rizik].&amp;[74]" c="13.16 OSIGURANJE OD ODGOVORNOSTI OBAVLJANJA ZAŠTITARSKIH I DETEKTIVSKIH DJELATNOSTI"/>
        <s v="[Rizici].[hSkupineRiziciOsiguranja].[Rizik].&amp;[84]" c="16.01 OSIG. FINANC. GUBITAKA RADI PREKIDA RADA ZBOG POŽARA I NEKIH DRUGIH OPASNOSTI"/>
        <s v="[Rizici].[hSkupineRiziciOsiguranja].[Rizik].&amp;[112]" c="21.01 DOPUNSKO OSIGURANJE OD POSLJEDICA NEZGODE UZ OSIGURANJE ŽIVOTA"/>
        <s v="[Rizici].[hSkupineRiziciOsiguranja].[Rizik].&amp;[10]" c="02.02 DOPUNSKO OSIG. RAZLIKE IZNAD VRIJEDNOSTI ZDRAV. USLUGA OBV. ZDR. OS."/>
        <s v="[Rizici].[hSkupineRiziciOsiguranja].[Rizik].&amp;[6]" c="01.06 OSTALA POSEBNA OSIGURANJA OD POSLJEDICA NEZGODE"/>
        <s v="[Rizici].[hSkupineRiziciOsiguranja].[Rizik].&amp;[33]" c="08.01 OSIGURANJE OD POŽARA I ELEMENTARNIH NEPOGODA IZVAN INDUSTRIJE I OBRTA"/>
        <s v="[Rizici].[hSkupineRiziciOsiguranja].[Rizik].&amp;[39]" c="09.04 OSIGURANJE KUĆANSTVA"/>
        <s v="[Rizici].[hSkupineRiziciOsiguranja].[Rizik].&amp;[49]" c="10.01 OBV. OSIG. VLASNIKA ODNOSNO KORISNIKA MOT. VOZILA OD ODG. ZA ŠTETE TREĆIM OSOBAMA"/>
        <s v="[Rizici].[hSkupineRiziciOsiguranja].[Rizik].&amp;[64]" c="13.06 OSIGURANJE GARANCIJE PRIZVOĐAČA, PRODAVAČA I DOBAVLJAČA"/>
        <s v="[Rizici].[hSkupineRiziciOsiguranja].[Rizik].&amp;[5]" c="01.05 OSIGURANJE POTOŠAČA, PRETPLATNIKA, KORISNIKA DRUGIH JAVNIH USLUGA I SL. OD POSLJEDICA NEZGODE"/>
        <s v="[Rizici].[hSkupineRiziciOsiguranja].[Rizik].&amp;[68]" c="13.10 OSIGURANJE OD ODGOVORNOSTI ODVJETNIKA"/>
        <s v="[Rizici].[hSkupineRiziciOsiguranja].[Rizik].&amp;[43]" c="09.08 OSIGURANJE STVARI U RUDARSKIM JAMAMA"/>
        <s v="[Rizici].[hSkupineRiziciOsiguranja].[Rizik].&amp;[114]" c="21.99 OSTALA DOPUNSKA OSIGURANJA UZ OSIGURANJE ŽIVOTA"/>
        <s v="[Rizici].[hSkupineRiziciOsiguranja].[Rizik].&amp;[32]" c="07.99 OSTALA OSIGURANJA ROBE U PRIJEVOZU"/>
        <s v="[Rizici].[hSkupineRiziciOsiguranja].[Rizik].&amp;[118]" c="23.03 OSIGURANJE ZA SLUČAJ DOŽIVLJENJA KOD KOJEG OSIGURANIK NA SEBE PREUZIMA INVESTICIJSKI RIZIK"/>
        <s v="[Rizici].[hSkupineRiziciOsiguranja].[Rizik].&amp;[110]" c="20.02 OSIGURANJE OSOBNE RENTE S ODREĐENIM TRAJANJEM"/>
        <s v="[Rizici].[hSkupineRiziciOsiguranja].[Rizik].&amp;[75]" c="13.17 OSIGURANJE OD ODGOVORNOSTI IZ OBAVLJANJA DJELATNOSTI UPRAVLJANJA NEKRETNINAMA"/>
        <s v="[Rizici].[hSkupineRiziciOsiguranja].[Rizik].&amp;[12]" c="02.04 DOP. ZDR. OS. VEĆEGA STANDARDA ZDR. USLUGA OD ODREĐENOG ZAKONOM O ZD.O"/>
        <s v="[Rizici].[hSkupineRiziciOsiguranja].[Rizik].&amp;[50]" c="10.02 DRAGOVOLJNO OSIG. VLASNIKA ODNOSNO KORISNIKA MOTORNIH VOZILA OD ODG. ZA ŠTETE TREĆIM OSOBAMA"/>
        <s v="[Rizici].[hSkupineRiziciOsiguranja].[Rizik].&amp;[14]" c="02.06 PRIVATNO ZDRAVSTVENO OSIGURANJE"/>
        <s v="[Rizici].[hSkupineRiziciOsiguranja].[Rizik].&amp;[65]" c="13.07 OSIGURANJE OPĆE ODGOVORNOSTI"/>
        <s v="[Rizici].[hSkupineRiziciOsiguranja].[Rizik].&amp;[98]" c="19.03 OSIGURANJE ZA SLUČAJ DOŽIVLJENJA"/>
        <s v="[Rizici].[hSkupineRiziciOsiguranja].[Rizik].&amp;[94]" c="18.04 OSIGURANJE POMOĆI (ASISTENCIJE) ZA VRIJEME PUTA, IZVAN MJESTA BORAVKA ILI PREBIVALIŠTA"/>
        <s v="[Rizici].[hSkupineRiziciOsiguranja].[Rizik].&amp;[67]" c="13.09 OSIGURANJE OD ODGOVORNOSTI PROJEKTNIH I DRUGIH DRUŠTAVA"/>
        <s v="[Rizici].[hSkupineRiziciOsiguranja].[Rizik].&amp;[18]" c="03.99 OSTALA KASKO OSIGURANJA CESTOVNIH VOZILA"/>
      </sharedItems>
    </cacheField>
    <cacheField name="[Vrste osiguranja].[hSkupineVrsteOsiguranja].[Skupina osiguranja]" caption="Skupina osiguranja" numFmtId="0" hierarchy="68" level="1">
      <sharedItems count="2">
        <s v="[Vrste osiguranja].[hSkupineVrsteOsiguranja].[Skupina osiguranja].&amp;[2]" c="Život"/>
        <s v="[Vrste osiguranja].[hSkupineVrsteOsiguranja].[Skupina osiguranja].&amp;[1]" c="Neživot"/>
      </sharedItems>
    </cacheField>
    <cacheField name="[Vrste osiguranja].[hSkupineVrsteOsiguranja].[Vrsta osiguranja]" caption="Vrsta osiguranja" numFmtId="0" hierarchy="68" level="2">
      <sharedItems count="25">
        <s v="[Vrste osiguranja].[hSkupineVrsteOsiguranja].[Vrsta osiguranja].&amp;[23]" c="23 ŽIVOTNA ILI RENTNA OSIGURANJA KOD KOJIH OSIGURANIK NA SEBE PREUZIMA INVESTICIJSKI RIZIK"/>
        <s v="[Vrste osiguranja].[hSkupineVrsteOsiguranja].[Vrsta osiguranja].&amp;[14]" c="14 OSIGURANJE KREDITA"/>
        <s v="[Vrste osiguranja].[hSkupineVrsteOsiguranja].[Vrsta osiguranja].&amp;[4]" c="04 OSIGURANJE TRAČNIH VOZILA - KASKO"/>
        <s v="[Vrste osiguranja].[hSkupineVrsteOsiguranja].[Vrsta osiguranja].&amp;[5]" c="05 OSIGURANJE ZRAČNIH LETJELICA - KASKO"/>
        <s v="[Vrste osiguranja].[hSkupineVrsteOsiguranja].[Vrsta osiguranja].&amp;[8]" c="08 OSIGURANJE OD POŽARA I ELEMENTARNIH ŠTETA"/>
        <s v="[Vrste osiguranja].[hSkupineVrsteOsiguranja].[Vrsta osiguranja].&amp;[20]" c="20 RENTNO OSIGURANJE"/>
        <s v="[Vrste osiguranja].[hSkupineVrsteOsiguranja].[Vrsta osiguranja].&amp;[19]" c="19 ŽIVOTNO OSIGURANJE"/>
        <s v="[Vrste osiguranja].[hSkupineVrsteOsiguranja].[Vrsta osiguranja].&amp;[13]" c="13 OSTALA OSIGURANJA OD ODGOVORNOSTI"/>
        <s v="[Vrste osiguranja].[hSkupineVrsteOsiguranja].[Vrsta osiguranja].&amp;[25]" c="25 OSIGURANJE S KAPITALIZACIJOM ISPLATE"/>
        <s v="[Vrste osiguranja].[hSkupineVrsteOsiguranja].[Vrsta osiguranja].&amp;[18]" c="18 PUTNO OSIGURANJE"/>
        <s v="[Vrste osiguranja].[hSkupineVrsteOsiguranja].[Vrsta osiguranja].&amp;[10]" c="10 OSIGURANJE OD ODGOVORNOSTI ZA UPOTREBU MOTORNIH VOZILA"/>
        <s v="[Vrste osiguranja].[hSkupineVrsteOsiguranja].[Vrsta osiguranja].&amp;[21]" c="21 DODATNA OSIGURANJA UZ ŽIVOTNO OSIGURANJE"/>
        <s v="[Vrste osiguranja].[hSkupineVrsteOsiguranja].[Vrsta osiguranja].&amp;[24]" c="24 TONTINE"/>
        <s v="[Vrste osiguranja].[hSkupineVrsteOsiguranja].[Vrsta osiguranja].&amp;[22]" c="22 OSIGURANJE ZA SLUČAJ VJENČANJA ILI ROĐENJA"/>
        <s v="[Vrste osiguranja].[hSkupineVrsteOsiguranja].[Vrsta osiguranja].&amp;[11]" c="11 OSIGURANJE OD ODGOVORNOSTI ZA UPOTREBU ZRAČNIH LETJELICA"/>
        <s v="[Vrste osiguranja].[hSkupineVrsteOsiguranja].[Vrsta osiguranja].&amp;[9]" c="09 OSTALA OSIGURANJA IMOVINE"/>
        <s v="[Vrste osiguranja].[hSkupineVrsteOsiguranja].[Vrsta osiguranja].&amp;[6]" c="06 OSIGURANJE PLOVILA"/>
        <s v="[Vrste osiguranja].[hSkupineVrsteOsiguranja].[Vrsta osiguranja].&amp;[17]" c="17 OSIGURANJE TROŠKOVA PRAVNE ZAŠTITE"/>
        <s v="[Vrste osiguranja].[hSkupineVrsteOsiguranja].[Vrsta osiguranja].&amp;[7]" c="07 OSIGURANJE ROBE U PRIJEVOZU"/>
        <s v="[Vrste osiguranja].[hSkupineVrsteOsiguranja].[Vrsta osiguranja].&amp;[1]" c="01 OSIGURANJE OD NEZGODE"/>
        <s v="[Vrste osiguranja].[hSkupineVrsteOsiguranja].[Vrsta osiguranja].&amp;[3]" c="03 OSIGURANJE CESTOVNIH VOZILA - KASKO"/>
        <s v="[Vrste osiguranja].[hSkupineVrsteOsiguranja].[Vrsta osiguranja].&amp;[16]" c="16 OSIGURANJE RAZNIH FINANCIJSKIH GUBITAKA"/>
        <s v="[Vrste osiguranja].[hSkupineVrsteOsiguranja].[Vrsta osiguranja].&amp;[2]" c="02 ZDRAVSTVENO OSIGURANJE"/>
        <s v="[Vrste osiguranja].[hSkupineVrsteOsiguranja].[Vrsta osiguranja].&amp;[12]" c="12 OSIGURANJE OD ODGOVORNOSTI ZA UPOTREBU PLOVILA"/>
        <s v="[Vrste osiguranja].[hSkupineVrsteOsiguranja].[Vrsta osiguranja].&amp;[15]" c="15 OSIGURANJE JAMSTVA"/>
      </sharedItems>
    </cacheField>
  </cacheFields>
  <cacheHierarchies count="234">
    <cacheHierarchy uniqueName="[Bilanca].[Broj pozicije]" caption="Broj pozicije" attribute="1" defaultMemberUniqueName="[Bilanca].[Broj pozicije].[Sve pozicije]" allUniqueName="[Bilanca].[Broj pozicije].[Sve pozicije]" dimensionUniqueName="[Bilanca]" displayFolder="" count="2" unbalanced="0"/>
    <cacheHierarchy uniqueName="[Bilanca].[Nad pozicija]" caption="Nad pozicija" defaultMemberUniqueName="[Bilanca].[Nad pozicija].[Sve pozicije]" allUniqueName="[Bilanca].[Nad pozicija].[Sve pozicije]" dimensionUniqueName="[Bilanca]" displayFolder="" count="8" unbalanced="1"/>
    <cacheHierarchy uniqueName="[Bilanca].[Opis pozcije]" caption="Opis pozcije" attribute="1" defaultMemberUniqueName="[Bilanca].[Opis pozcije].[Sve pozicije]" allUniqueName="[Bilanca].[Opis pozcije].[Sve pozicije]" dimensionUniqueName="[Bilanca]" displayFolder="" count="2" unbalanced="0"/>
    <cacheHierarchy uniqueName="[Bilanca].[Oznaka pozicije]" caption="Oznaka pozicije" attribute="1" defaultMemberUniqueName="[Bilanca].[Oznaka pozicije].[Sve pozicije]" allUniqueName="[Bilanca].[Oznaka pozicije].[Sve pozicije]" dimensionUniqueName="[Bilanca]" displayFolder="" count="2" unbalanced="0"/>
    <cacheHierarchy uniqueName="[Bilanca].[Pozicija]" caption="Pozicija" attribute="1" keyAttribute="1" defaultMemberUniqueName="[Bilanca].[Pozicija].[Sve pozicije]" allUniqueName="[Bilanca].[Pozicija].[Sve pozicije]" dimensionUniqueName="[Bilanca]" displayFolder="" count="2" unbalanced="0"/>
    <cacheHierarchy uniqueName="[Datum dostave].[Dan U Tjednu]" caption="Dan U Tjednu" attribute="1" time="1" defaultMemberUniqueName="[Datum dostave].[Dan U Tjednu].[All]" allUniqueName="[Datum dostave].[Dan U Tjednu].[All]" dimensionUniqueName="[Datum dostave]" displayFolder="" count="2" unbalanced="0"/>
    <cacheHierarchy uniqueName="[Datum dostave].[Datum]" caption="Datum" attribute="1" time="1" keyAttribute="1" defaultMemberUniqueName="[Datum dostave].[Datum].[All]" allUniqueName="[Datum dostave].[Datum].[All]" dimensionUniqueName="[Datum dostave]" displayFolder="" count="2" memberValueDatatype="130" unbalanced="0"/>
    <cacheHierarchy uniqueName="[Datum dostave].[Godina]" caption="Godina" attribute="1" time="1" defaultMemberUniqueName="[Datum dostave].[Godina].[All]" allUniqueName="[Datum dostave].[Godina].[All]" dimensionUniqueName="[Datum dostave]" displayFolder="" count="2" unbalanced="0"/>
    <cacheHierarchy uniqueName="[Datum dostave].[Hierarchy]" caption="Hierarchy" time="1" defaultMemberUniqueName="[Datum dostave].[Hierarchy].[All]" allUniqueName="[Datum dostave].[Hierarchy].[All]" dimensionUniqueName="[Datum dostave]" displayFolder="" count="5" unbalanced="0"/>
    <cacheHierarchy uniqueName="[Datum dostave].[Kvartal]" caption="Kvartal" attribute="1" time="1" defaultMemberUniqueName="[Datum dostave].[Kvartal].[All]" allUniqueName="[Datum dostave].[Kvartal].[All]" dimensionUniqueName="[Datum dostave]" displayFolder="" count="2" unbalanced="0"/>
    <cacheHierarchy uniqueName="[Datum dostave].[Mjesec]" caption="Mjesec" attribute="1" time="1" defaultMemberUniqueName="[Datum dostave].[Mjesec].[All]" allUniqueName="[Datum dostave].[Mjesec].[All]" dimensionUniqueName="[Datum dostave]" displayFolder="" count="2" unbalanced="0"/>
    <cacheHierarchy uniqueName="[Društva].[Adresa 1]" caption="Adresa 1" attribute="1" defaultMemberUniqueName="[Društva].[Adresa 1].[Sva društva]" allUniqueName="[Društva].[Adresa 1].[Sva društva]" dimensionUniqueName="[Društva]" displayFolder="" count="2" unbalanced="0"/>
    <cacheHierarchy uniqueName="[Društva].[Adresa 2]" caption="Adresa 2" attribute="1" defaultMemberUniqueName="[Društva].[Adresa 2].[Sva društva]" allUniqueName="[Društva].[Adresa 2].[Sva društva]" dimensionUniqueName="[Društva]" displayFolder="" count="2" unbalanced="0"/>
    <cacheHierarchy uniqueName="[Društva].[Adresa 3]" caption="Adresa 3" attribute="1" defaultMemberUniqueName="[Društva].[Adresa 3].[Sva društva]" allUniqueName="[Društva].[Adresa 3].[Sva društva]" dimensionUniqueName="[Društva]" displayFolder="" count="2" unbalanced="0"/>
    <cacheHierarchy uniqueName="[Društva].[Adresa 4]" caption="Adresa 4" attribute="1" defaultMemberUniqueName="[Društva].[Adresa 4].[Sva društva]" allUniqueName="[Društva].[Adresa 4].[Sva društva]" dimensionUniqueName="[Društva]" displayFolder="" count="2" unbalanced="0"/>
    <cacheHierarchy uniqueName="[Društva].[Broj Pošte]" caption="Broj Pošte" attribute="1" defaultMemberUniqueName="[Društva].[Broj Pošte].[Sva društva]" allUniqueName="[Društva].[Broj Pošte].[Sva društva]" dimensionUniqueName="[Društva]" displayFolder="" count="2" unbalanced="0"/>
    <cacheHierarchy uniqueName="[Društva].[Članstvo HUO]" caption="Članstvo HUO" attribute="1" defaultMemberUniqueName="[Društva].[Članstvo HUO].[Sva društva]" allUniqueName="[Društva].[Članstvo HUO].[Sva društva]" dimensionUniqueName="[Društva]" displayFolder="" count="2" unbalanced="0"/>
    <cacheHierarchy uniqueName="[Društva].[Društvo]" caption="Društvo" attribute="1" defaultMemberUniqueName="[Društva].[Društvo].[Sva društva]" allUniqueName="[Društva].[Društvo].[Sva društva]" dimensionUniqueName="[Društva]" displayFolder="" count="2" unbalanced="0"/>
    <cacheHierarchy uniqueName="[Društva].[Država]" caption="Država" attribute="1" defaultMemberUniqueName="[Društva].[Država].[Sva društva]" allUniqueName="[Društva].[Država].[Sva društva]" dimensionUniqueName="[Društva]" displayFolder="" count="2" unbalanced="0"/>
    <cacheHierarchy uniqueName="[Društva].[Fax 1]" caption="Fax 1" attribute="1" defaultMemberUniqueName="[Društva].[Fax 1].[Sva društva]" allUniqueName="[Društva].[Fax 1].[Sva društva]" dimensionUniqueName="[Društva]" displayFolder="" count="2" unbalanced="0"/>
    <cacheHierarchy uniqueName="[Društva].[Fax 2]" caption="Fax 2" attribute="1" defaultMemberUniqueName="[Društva].[Fax 2].[Sva društva]" allUniqueName="[Društva].[Fax 2].[Sva društva]" dimensionUniqueName="[Društva]" displayFolder="" count="2" unbalanced="0"/>
    <cacheHierarchy uniqueName="[Društva].[Fax Stranka]" caption="Fax Stranka" attribute="1" defaultMemberUniqueName="[Društva].[Fax Stranka].[Sva društva]" allUniqueName="[Društva].[Fax Stranka].[Sva društva]" dimensionUniqueName="[Društva]" displayFolder="" count="2" unbalanced="0"/>
    <cacheHierarchy uniqueName="[Društva].[Hierarchy]" caption="Hierarchy" defaultMemberUniqueName="[Društva].[Hierarchy].[All]" allUniqueName="[Društva].[Hierarchy].[All]" allCaption="All" dimensionUniqueName="[Društva]" displayFolder="" count="3" unbalanced="0">
      <fieldsUsage count="2">
        <fieldUsage x="-1"/>
        <fieldUsage x="1"/>
      </fieldsUsage>
    </cacheHierarchy>
    <cacheHierarchy uniqueName="[Društva].[Kod Društva]" caption="Kod Društva" attribute="1" defaultMemberUniqueName="[Društva].[Kod Društva].[Sva društva]" allUniqueName="[Društva].[Kod Društva].[Sva društva]" dimensionUniqueName="[Društva]" displayFolder="" count="2" unbalanced="0"/>
    <cacheHierarchy uniqueName="[Društva].[Mail Adresa 1]" caption="Mail Adresa 1" attribute="1" defaultMemberUniqueName="[Društva].[Mail Adresa 1].[Sva društva]" allUniqueName="[Društva].[Mail Adresa 1].[Sva društva]" dimensionUniqueName="[Društva]" displayFolder="" count="2" unbalanced="0"/>
    <cacheHierarchy uniqueName="[Društva].[Mail Adresa 2]" caption="Mail Adresa 2" attribute="1" defaultMemberUniqueName="[Društva].[Mail Adresa 2].[Sva društva]" allUniqueName="[Društva].[Mail Adresa 2].[Sva društva]" dimensionUniqueName="[Društva]" displayFolder="" count="2" unbalanced="0"/>
    <cacheHierarchy uniqueName="[Društva].[Mail Stranka]" caption="Mail Stranka" attribute="1" defaultMemberUniqueName="[Društva].[Mail Stranka].[Sva društva]" allUniqueName="[Društva].[Mail Stranka].[Sva društva]" dimensionUniqueName="[Društva]" displayFolder="" count="2" unbalanced="0"/>
    <cacheHierarchy uniqueName="[Društva].[Matični Broj]" caption="Matični Broj" attribute="1" defaultMemberUniqueName="[Društva].[Matični Broj].[Sva društva]" allUniqueName="[Društva].[Matični Broj].[Sva društva]" dimensionUniqueName="[Društva]" displayFolder="" count="2" unbalanced="0"/>
    <cacheHierarchy uniqueName="[Društva].[OIB]" caption="OIB" attribute="1" defaultMemberUniqueName="[Društva].[OIB].[Sva društva]" allUniqueName="[Društva].[OIB].[Sva društva]" dimensionUniqueName="[Društva]" displayFolder="" count="2" unbalanced="0"/>
    <cacheHierarchy uniqueName="[Društva].[Podružnica]" caption="Podružnica" attribute="1" keyAttribute="1" defaultMemberUniqueName="[Društva].[Podružnica].[Sva društva]" allUniqueName="[Društva].[Podružnica].[Sva društva]" dimensionUniqueName="[Društva]" displayFolder="" count="2" unbalanced="0"/>
    <cacheHierarchy uniqueName="[Društva].[Telefon 1]" caption="Telefon 1" attribute="1" defaultMemberUniqueName="[Društva].[Telefon 1].[Sva društva]" allUniqueName="[Društva].[Telefon 1].[Sva društva]" dimensionUniqueName="[Društva]" displayFolder="" count="2" unbalanced="0"/>
    <cacheHierarchy uniqueName="[Društva].[Telefon 2]" caption="Telefon 2" attribute="1" defaultMemberUniqueName="[Društva].[Telefon 2].[Sva društva]" allUniqueName="[Društva].[Telefon 2].[Sva društva]" dimensionUniqueName="[Društva]" displayFolder="" count="2" unbalanced="0"/>
    <cacheHierarchy uniqueName="[Društva].[Telefon 3]" caption="Telefon 3" attribute="1" defaultMemberUniqueName="[Društva].[Telefon 3].[Sva društva]" allUniqueName="[Društva].[Telefon 3].[Sva društva]" dimensionUniqueName="[Društva]" displayFolder="" count="2" unbalanced="0"/>
    <cacheHierarchy uniqueName="[Društva].[Telefon Stranka]" caption="Telefon Stranka" attribute="1" defaultMemberUniqueName="[Društva].[Telefon Stranka].[Sva društva]" allUniqueName="[Društva].[Telefon Stranka].[Sva društva]" dimensionUniqueName="[Društva]" displayFolder="" count="2" unbalanced="0"/>
    <cacheHierarchy uniqueName="[Društva].[Web Adresa]" caption="Web Adresa" attribute="1" defaultMemberUniqueName="[Društva].[Web Adresa].[Sva društva]" allUniqueName="[Društva].[Web Adresa].[Sva društva]" dimensionUniqueName="[Društva]" displayFolder="" count="2" unbalanced="0"/>
    <cacheHierarchy uniqueName="[Godina Podatka].[Godina podatka]" caption="Godina podatka" attribute="1" keyAttribute="1" defaultMemberUniqueName="[Godina Podatka].[Godina podatka].[Sve]" allUniqueName="[Godina Podatka].[Godina podatka].[Sve]" dimensionUniqueName="[Godina Podatka]" displayFolder="" count="2" unbalanced="0">
      <fieldsUsage count="2">
        <fieldUsage x="-1"/>
        <fieldUsage x="7"/>
      </fieldsUsage>
    </cacheHierarchy>
    <cacheHierarchy uniqueName="[HUO Podatak].[HUOS]" caption="HUO Podatak.HUOS" attribute="1" defaultMemberUniqueName="[HUO Podatak].[HUOS].[Svi]" allUniqueName="[HUO Podatak].[HUOS].[Svi]" dimensionUniqueName="[HUO Podatak]" displayFolder="" count="2" unbalanced="0"/>
    <cacheHierarchy uniqueName="[HUO Podatak].[Opis2]" caption="HUO Podatak.Opis2" attribute="1" defaultMemberUniqueName="[HUO Podatak].[Opis2].[Svi]" allUniqueName="[HUO Podatak].[Opis2].[Svi]" dimensionUniqueName="[HUO Podatak]" displayFolder="" count="2" unbalanced="0"/>
    <cacheHierarchy uniqueName="[HUO Podatak].[Pomoćna]" caption="HUO Podatak.Pomoćna" attribute="1" keyAttribute="1" defaultMemberUniqueName="[HUO Podatak].[Pomoćna].[Svi]" allUniqueName="[HUO Podatak].[Pomoćna].[Svi]" dimensionUniqueName="[HUO Podatak]" displayFolder="" count="2" unbalanced="0"/>
    <cacheHierarchy uniqueName="[Measures]" caption="Measures" attribute="1" keyAttribute="1" defaultMemberUniqueName="[Measures].[Iznos bilance]" dimensionUniqueName="[Measures]" displayFolder="" measures="1" count="1" unbalanced="0">
      <fieldsUsage count="1">
        <fieldUsage x="8"/>
      </fieldsUsage>
    </cacheHierarchy>
    <cacheHierarchy uniqueName="[Oblici ugovaranja].[Oblik ugovaranja]" caption="Oblik ugovaranja" attribute="1" keyAttribute="1" defaultMemberUniqueName="[Oblici ugovaranja].[Oblik ugovaranja].[Svi]" allUniqueName="[Oblici ugovaranja].[Oblik ugovaranja].[Svi]" dimensionUniqueName="[Oblici ugovaranja]" displayFolder="" count="2" unbalanced="0"/>
    <cacheHierarchy uniqueName="[Podvrste osiguranja].[hPodvrsteOsiguranja]" caption="hPodvrsteOsiguranja" defaultMemberUniqueName="[Podvrste osiguranja].[hPodvrsteOsiguranja].[Sve]" allUniqueName="[Podvrste osiguranja].[hPodvrsteOsiguranja].[Sve]" dimensionUniqueName="[Podvrste osiguranja]" displayFolder="" count="5" unbalanced="0">
      <fieldsUsage count="4">
        <fieldUsage x="-1"/>
        <fieldUsage x="4"/>
        <fieldUsage x="5"/>
        <fieldUsage x="6"/>
      </fieldsUsage>
    </cacheHierarchy>
    <cacheHierarchy uniqueName="[Podvrste osiguranja].[Podvrsta osiguranja]" caption="Podvrsta osiguranja" attribute="1" keyAttribute="1" defaultMemberUniqueName="[Podvrste osiguranja].[Podvrsta osiguranja].[Sve]" allUniqueName="[Podvrste osiguranja].[Podvrsta osiguranja].[Sve]" dimensionUniqueName="[Podvrste osiguranja]" displayFolder="" count="2" unbalanced="0"/>
    <cacheHierarchy uniqueName="[Podvrste osiguranja].[Rizik]" caption="Rizik" attribute="1" defaultMemberUniqueName="[Podvrste osiguranja].[Rizik].[Sve]" allUniqueName="[Podvrste osiguranja].[Rizik].[Sve]" dimensionUniqueName="[Podvrste osiguranja]" displayFolder="Atributi" count="2" unbalanced="0"/>
    <cacheHierarchy uniqueName="[Podvrste osiguranja].[Skupina osiguranja]" caption="Skupina osiguranja" attribute="1" defaultMemberUniqueName="[Podvrste osiguranja].[Skupina osiguranja].[Sve]" allUniqueName="[Podvrste osiguranja].[Skupina osiguranja].[Sve]" dimensionUniqueName="[Podvrste osiguranja]" displayFolder="" count="2" unbalanced="0"/>
    <cacheHierarchy uniqueName="[Podvrste osiguranja].[Šifra podvrste osiguranja]" caption="Šifra podvrste osiguranja" attribute="1" defaultMemberUniqueName="[Podvrste osiguranja].[Šifra podvrste osiguranja].[Sve]" allUniqueName="[Podvrste osiguranja].[Šifra podvrste osiguranja].[Sve]" dimensionUniqueName="[Podvrste osiguranja]" displayFolder="Atributi" count="2" unbalanced="0"/>
    <cacheHierarchy uniqueName="[Podvrste osiguranja].[Šifra rizika]" caption="Šifra rizika" attribute="1" defaultMemberUniqueName="[Podvrste osiguranja].[Šifra rizika].[Sve]" allUniqueName="[Podvrste osiguranja].[Šifra rizika].[Sve]" dimensionUniqueName="[Podvrste osiguranja]" displayFolder="Atributi" count="2" unbalanced="0"/>
    <cacheHierarchy uniqueName="[Podvrste osiguranja].[Šifra vrste osiguranja]" caption="Šifra vrste osiguranja" attribute="1" defaultMemberUniqueName="[Podvrste osiguranja].[Šifra vrste osiguranja].[Sve]" allUniqueName="[Podvrste osiguranja].[Šifra vrste osiguranja].[Sve]" dimensionUniqueName="[Podvrste osiguranja]" displayFolder="Atributi" count="2" unbalanced="0"/>
    <cacheHierarchy uniqueName="[Podvrste osiguranja].[Vrsta osiguranja]" caption="Vrsta osiguranja" attribute="1" defaultMemberUniqueName="[Podvrste osiguranja].[Vrsta osiguranja].[Sve]" allUniqueName="[Podvrste osiguranja].[Vrsta osiguranja].[Sve]" dimensionUniqueName="[Podvrste osiguranja]" displayFolder="Atributi" count="2" unbalanced="0"/>
    <cacheHierarchy uniqueName="[Premijske grupe statistike].[Premijska grupa]" caption="Premijska grupa" attribute="1" keyAttribute="1" defaultMemberUniqueName="[Premijske grupe statistike].[Premijska grupa].[Sve]" allUniqueName="[Premijske grupe statistike].[Premijska grupa].[Sve]" dimensionUniqueName="[Premijske grupe statistike]" displayFolder="" count="2" unbalanced="0"/>
    <cacheHierarchy uniqueName="[Prodajni kanali].[Prodajni kanal]" caption="Prodajni kanal" attribute="1" keyAttribute="1" defaultMemberUniqueName="[Prodajni kanali].[Prodajni kanal].[Svi]" allUniqueName="[Prodajni kanali].[Prodajni kanal].[Svi]" dimensionUniqueName="[Prodajni kanali]" displayFolder="" count="2" unbalanced="0"/>
    <cacheHierarchy uniqueName="[RDG Pozicija].[Opis RDG pozicije]" caption="Opis RDG pozicije" attribute="1" defaultMemberUniqueName="[RDG Pozicija].[Opis RDG pozicije].[Sve]" allUniqueName="[RDG Pozicija].[Opis RDG pozicije].[Sve]" dimensionUniqueName="[RDG Pozicija]" displayFolder="" count="2" unbalanced="0"/>
    <cacheHierarchy uniqueName="[RDG Pozicija].[Oznaka RDG pozicije]" caption="Oznaka RDG pozicije" attribute="1" defaultMemberUniqueName="[RDG Pozicija].[Oznaka RDG pozicije].[Sve]" allUniqueName="[RDG Pozicija].[Oznaka RDG pozicije].[Sve]" dimensionUniqueName="[RDG Pozicija]" displayFolder="" count="2" unbalanced="0"/>
    <cacheHierarchy uniqueName="[RDG Pozicija].[RDG pozicija]" caption="RDG pozicija" attribute="1" keyAttribute="1" defaultMemberUniqueName="[RDG Pozicija].[RDG pozicija].[Sve]" allUniqueName="[RDG Pozicija].[RDG pozicija].[Sve]" dimensionUniqueName="[RDG Pozicija]" displayFolder="" count="2" unbalanced="0"/>
    <cacheHierarchy uniqueName="[Rizici].[hSkupineRiziciOsiguranja]" caption="hSkupineRiziciOsiguranja" defaultMemberUniqueName="[Rizici].[hSkupineRiziciOsiguranja].[Sve]" allUniqueName="[Rizici].[hSkupineRiziciOsiguranja].[Sve]" allCaption="Sve" dimensionUniqueName="[Rizici]" displayFolder="" count="4" unbalanced="0">
      <fieldsUsage count="4">
        <fieldUsage x="-1"/>
        <fieldUsage x="2"/>
        <fieldUsage x="3"/>
        <fieldUsage x="10"/>
      </fieldsUsage>
    </cacheHierarchy>
    <cacheHierarchy uniqueName="[Rizici].[Rizik]" caption="Rizik" attribute="1" keyAttribute="1" defaultMemberUniqueName="[Rizici].[Rizik].[Sve]" allUniqueName="[Rizici].[Rizik].[Sve]" dimensionUniqueName="[Rizici]" displayFolder="" count="2" unbalanced="0"/>
    <cacheHierarchy uniqueName="[Rizici].[Skupina osiguranja]" caption="Skupina osiguranja" attribute="1" defaultMemberUniqueName="[Rizici].[Skupina osiguranja].[Sve]" allUniqueName="[Rizici].[Skupina osiguranja].[Sve]" dimensionUniqueName="[Rizici]" displayFolder="" count="2" unbalanced="0"/>
    <cacheHierarchy uniqueName="[Rizici].[Šifra rizika]" caption="Šifra rizika" attribute="1" defaultMemberUniqueName="[Rizici].[Šifra rizika].[Sve]" allUniqueName="[Rizici].[Šifra rizika].[Sve]" dimensionUniqueName="[Rizici]" displayFolder="" count="2" unbalanced="0"/>
    <cacheHierarchy uniqueName="[Rizici].[Šifra vrste osiguranja]" caption="Šifra vrste osiguranja" attribute="1" defaultMemberUniqueName="[Rizici].[Šifra vrste osiguranja].[Sve]" allUniqueName="[Rizici].[Šifra vrste osiguranja].[Sve]" dimensionUniqueName="[Rizici]" displayFolder="" count="2" unbalanced="0"/>
    <cacheHierarchy uniqueName="[Rizici].[Vrsta osiguranja]" caption="Vrsta osiguranja" attribute="1" defaultMemberUniqueName="[Rizici].[Vrsta osiguranja].[Sve]" allUniqueName="[Rizici].[Vrsta osiguranja].[Sve]" dimensionUniqueName="[Rizici]" displayFolder="" count="2" unbalanced="0"/>
    <cacheHierarchy uniqueName="[Skupine osiguranja].[Skupina osiguranja]" caption="Skupina osiguranja" attribute="1" keyAttribute="1" defaultMemberUniqueName="[Skupine osiguranja].[Skupina osiguranja].[Sve]" allUniqueName="[Skupine osiguranja].[Skupina osiguranja].[Sve]" allCaption="Sve" dimensionUniqueName="[Skupine osiguranja]" displayFolder="" count="2" unbalanced="0">
      <fieldsUsage count="2">
        <fieldUsage x="-1"/>
        <fieldUsage x="9"/>
      </fieldsUsage>
    </cacheHierarchy>
    <cacheHierarchy uniqueName="[Stručne spreme].[Stručna sprema]" caption="Stručna sprema" attribute="1" keyAttribute="1" defaultMemberUniqueName="[Stručne spreme].[Stručna sprema].[Sve]" allUniqueName="[Stručne spreme].[Stručna sprema].[Sve]" dimensionUniqueName="[Stručne spreme]" displayFolder="" count="2" unbalanced="0"/>
    <cacheHierarchy uniqueName="[Učestalost podataka].[Redni broj učestalosti podatka]" caption="Redni broj učestalosti podatka" attribute="1" defaultMemberUniqueName="[Učestalost podataka].[Redni broj učestalosti podatka].[All]" allUniqueName="[Učestalost podataka].[Redni broj učestalosti podatka].[All]" dimensionUniqueName="[Učestalost podataka]" displayFolder="" count="2" unbalanced="0"/>
    <cacheHierarchy uniqueName="[Učestalost podataka].[Šifra učestalosti podatka]" caption="Šifra učestalosti podatka" attribute="1" defaultMemberUniqueName="[Učestalost podataka].[Šifra učestalosti podatka].[All]" allUniqueName="[Učestalost podataka].[Šifra učestalosti podatka].[All]" dimensionUniqueName="[Učestalost podataka]" displayFolder="" count="2" unbalanced="0"/>
    <cacheHierarchy uniqueName="[Učestalost podataka].[Učestalost podatka]" caption="Učestalost podatka" attribute="1" keyAttribute="1" defaultMemberUniqueName="[Učestalost podataka].[Učestalost podatka].[All]" allUniqueName="[Učestalost podataka].[Učestalost podatka].[All]" dimensionUniqueName="[Učestalost podataka]" displayFolder="" count="2" unbalanced="0">
      <fieldsUsage count="2">
        <fieldUsage x="-1"/>
        <fieldUsage x="0"/>
      </fieldsUsage>
    </cacheHierarchy>
    <cacheHierarchy uniqueName="[Verificirano].[HUOS]" caption="Verificirano.HUOS" attribute="1" defaultMemberUniqueName="[Verificirano].[HUOS].[Svi]" allUniqueName="[Verificirano].[HUOS].[Svi]" dimensionUniqueName="[Verificirano]" displayFolder="" count="2" unbalanced="0"/>
    <cacheHierarchy uniqueName="[Verificirano].[Opis2]" caption="Verificirano.Opis2" attribute="1" defaultMemberUniqueName="[Verificirano].[Opis2].[Svi]" allUniqueName="[Verificirano].[Opis2].[Svi]" dimensionUniqueName="[Verificirano]" displayFolder="" count="2" unbalanced="0"/>
    <cacheHierarchy uniqueName="[Verificirano].[Pomoćna]" caption="Verificirano.Pomoćna" attribute="1" keyAttribute="1" defaultMemberUniqueName="[Verificirano].[Pomoćna].[Svi]" allUniqueName="[Verificirano].[Pomoćna].[Svi]" dimensionUniqueName="[Verificirano]" displayFolder="" count="2" unbalanced="0"/>
    <cacheHierarchy uniqueName="[Vrste osiguranja].[hSkupineVrsteOsiguranja]" caption="hSkupineVrsteOsiguranja" defaultMemberUniqueName="[Vrste osiguranja].[hSkupineVrsteOsiguranja].[Sve]" allUniqueName="[Vrste osiguranja].[hSkupineVrsteOsiguranja].[Sve]" allCaption="Sve" dimensionUniqueName="[Vrste osiguranja]" displayFolder="" count="3" unbalanced="0">
      <fieldsUsage count="3">
        <fieldUsage x="-1"/>
        <fieldUsage x="11"/>
        <fieldUsage x="12"/>
      </fieldsUsage>
    </cacheHierarchy>
    <cacheHierarchy uniqueName="[Vrste osiguranja].[Skupina osiguranja]" caption="Skupina osiguranja" attribute="1" defaultMemberUniqueName="[Vrste osiguranja].[Skupina osiguranja].[Sve]" allUniqueName="[Vrste osiguranja].[Skupina osiguranja].[Sve]" dimensionUniqueName="[Vrste osiguranja]" displayFolder="" count="2" unbalanced="0"/>
    <cacheHierarchy uniqueName="[Vrste osiguranja].[Šifra vrste osiguranja]" caption="Šifra vrste osiguranja" attribute="1" defaultMemberUniqueName="[Vrste osiguranja].[Šifra vrste osiguranja].[Sve]" allUniqueName="[Vrste osiguranja].[Šifra vrste osiguranja].[Sve]" dimensionUniqueName="[Vrste osiguranja]" displayFolder="" count="2" unbalanced="0"/>
    <cacheHierarchy uniqueName="[Vrste osiguranja].[Vrsta osiguranja]" caption="Vrsta osiguranja" attribute="1" keyAttribute="1" defaultMemberUniqueName="[Vrste osiguranja].[Vrsta osiguranja].[Sve]" allUniqueName="[Vrste osiguranja].[Vrsta osiguranja].[Sve]" dimensionUniqueName="[Vrste osiguranja]" displayFolder="" count="2" unbalanced="0"/>
    <cacheHierarchy uniqueName="[Vrste osigurateljno tehničkih pričuva].[Vrste osigurateljno tehničke pričuve]" caption="Vrste osigurateljno tehničke pričuve" attribute="1" keyAttribute="1" defaultMemberUniqueName="[Vrste osigurateljno tehničkih pričuva].[Vrste osigurateljno tehničke pričuve].[Sve]" allUniqueName="[Vrste osigurateljno tehničkih pričuva].[Vrste osigurateljno tehničke pričuve].[Sve]" dimensionUniqueName="[Vrste osigurateljno tehničkih pričuva]" displayFolder="" count="2" unbalanced="0"/>
    <cacheHierarchy uniqueName="[Measures].[Iznos bilance]" caption="Iznos bilance" measure="1" displayFolder="" measureGroup="Bilanca" count="0"/>
    <cacheHierarchy uniqueName="[Measures].[Broj osiguranja- rizici]" caption="Broj osiguranja- rizici" measure="1" displayFolder="" measureGroup="Rizici" count="0"/>
    <cacheHierarchy uniqueName="[Measures].[Zaračunata bruto premija osiguranja- rizici]" caption="Zaračunata bruto premija osiguranja- rizici" measure="1" displayFolder="" measureGroup="Rizici" count="0"/>
    <cacheHierarchy uniqueName="[Measures].[Stanje prijenosne premije bruto 0101- rizici]" caption="Stanje prijenosne premije bruto 0101- rizici" measure="1" displayFolder="" measureGroup="Rizici" count="0"/>
    <cacheHierarchy uniqueName="[Measures].[Stanje prijenosne premije bruto 3112- rizici]" caption="Stanje prijenosne premije bruto 3112- rizici" measure="1" displayFolder="" measureGroup="Rizici" count="0"/>
    <cacheHierarchy uniqueName="[Measures].[Broj šteta - rizici]" caption="Broj šteta - rizici" measure="1" displayFolder="" measureGroup="Rizici" count="0"/>
    <cacheHierarchy uniqueName="[Measures].[Likvidirane štete bruto - rizici]" caption="Likvidirane štete bruto - rizici" measure="1" displayFolder="" measureGroup="Rizici" count="0"/>
    <cacheHierarchy uniqueName="[Measures].[Stanje pričuva šteta bruto 0101 - rizici]" caption="Stanje pričuva šteta bruto 0101 - rizici" measure="1" displayFolder="" measureGroup="Rizici" count="0"/>
    <cacheHierarchy uniqueName="[Measures].[Stanje pričuva šteta bruto 3112 - rizici]" caption="Stanje pričuva šteta bruto 3112 - rizici" measure="1" displayFolder="" measureGroup="Rizici" count="0"/>
    <cacheHierarchy uniqueName="[Measures].[Broj šteta u pričuvi 0101 - rizici]" caption="Broj šteta u pričuvi 0101 - rizici" measure="1" displayFolder="" measureGroup="Rizici" count="0"/>
    <cacheHierarchy uniqueName="[Measures].[Zaračunata bruto premija osiguranja- rizici EUR]" caption="Zaračunata bruto premija osiguranja- rizici EUR" measure="1" displayFolder="Rizici EUR" measureGroup="Rizici" count="0"/>
    <cacheHierarchy uniqueName="[Measures].[Stanje prijenosne premije bruto 0101- rizici EUR]" caption="Stanje prijenosne premije bruto 0101- rizici EUR" measure="1" displayFolder="Rizici EUR" measureGroup="Rizici" count="0"/>
    <cacheHierarchy uniqueName="[Measures].[Stanje prijenosne premije bruto 3112- rizici EUR]" caption="Stanje prijenosne premije bruto 3112- rizici EUR" measure="1" displayFolder="Rizici EUR" measureGroup="Rizici" count="0"/>
    <cacheHierarchy uniqueName="[Measures].[Likvidirane štete bruto - rizici EUR]" caption="Likvidirane štete bruto - rizici EUR" measure="1" displayFolder="Rizici EUR" measureGroup="Rizici" count="0"/>
    <cacheHierarchy uniqueName="[Measures].[Stanje pričuva šteta bruto 0101 - rizici EUR]" caption="Stanje pričuva šteta bruto 0101 - rizici EUR" measure="1" displayFolder="Rizici EUR" measureGroup="Rizici" count="0"/>
    <cacheHierarchy uniqueName="[Measures].[Stanje pričuva šteta bruto 3112 - rizici EUR]" caption="Stanje pričuva šteta bruto 3112 - rizici EUR" measure="1" displayFolder="Rizici EUR" measureGroup="Rizici" count="0"/>
    <cacheHierarchy uniqueName="[Measures].[2_Premije predane u reosiguranje]" caption="2_Premije predane u reosiguranje" measure="1" displayFolder="" measureGroup="Statistika po vrstama osiguranja" count="0"/>
    <cacheHierarchy uniqueName="[Measures].[2_Promjena bruto pričuva prijenosnih premija PM]" caption="2_Promjena bruto pričuva prijenosnih premija PM" measure="1" displayFolder="" measureGroup="Statistika po vrstama osiguranja" count="0"/>
    <cacheHierarchy uniqueName="[Measures].[2_Promjena pričuva prijenosnih premija udio reosiguranja PM]" caption="2_Promjena pričuva prijenosnih premija udio reosiguranja PM" measure="1" displayFolder="" measureGroup="Statistika po vrstama osiguranja" count="0"/>
    <cacheHierarchy uniqueName="[Measures].[3_Struktura premije tehnička]" caption="3_Struktura premije tehnička" measure="1" displayFolder="" measureGroup="Statistika po vrstama osiguranja" count="0"/>
    <cacheHierarchy uniqueName="[Measures].[3_Struktura premije preventiva]" caption="3_Struktura premije preventiva" measure="1" displayFolder="" measureGroup="Statistika po vrstama osiguranja" count="0"/>
    <cacheHierarchy uniqueName="[Measures].[3_Struktura premije djelatnost]" caption="3_Struktura premije djelatnost" measure="1" displayFolder="" measureGroup="Statistika po vrstama osiguranja" count="0"/>
    <cacheHierarchy uniqueName="[Measures].[5_Udio reosiguranja u štetama]" caption="5_Udio reosiguranja u štetama" measure="1" displayFolder="" measureGroup="Statistika po vrstama osiguranja" count="0"/>
    <cacheHierarchy uniqueName="[Measures].[5_Promjena pričuva za štete udio reosiguranja PM]" caption="5_Promjena pričuva za štete udio reosiguranja PM" measure="1" displayFolder="" measureGroup="Statistika po vrstama osiguranja" count="0"/>
    <cacheHierarchy uniqueName="[Measures].[5_Promjena bruto pričuva za štete PM]" caption="5_Promjena bruto pričuva za štete PM" measure="1" displayFolder="" measureGroup="Statistika po vrstama osiguranja" count="0"/>
    <cacheHierarchy uniqueName="[Measures].[6_Broj šteta prijavljenih u godini]" caption="6_Broj šteta prijavljenih u godini" measure="1" displayFolder="" measureGroup="Statistika po vrstama osiguranja" count="0"/>
    <cacheHierarchy uniqueName="[Measures].[6_Broj šteta riješenih u godini otklonjene]" caption="6_Broj šteta riješenih u godini otklonjene" measure="1" displayFolder="" measureGroup="Statistika po vrstama osiguranja" count="0"/>
    <cacheHierarchy uniqueName="[Measures].[6_Broj šteta u sudskom Sporu]" caption="6_Broj šteta u sudskom Sporu" measure="1" displayFolder="" measureGroup="Statistika po vrstama osiguranja" count="0"/>
    <cacheHierarchy uniqueName="[Measures].[6_Broj šteta u arbitražnom postupku]" caption="6_Broj šteta u arbitražnom postupku" measure="1" displayFolder="" measureGroup="Statistika po vrstama osiguranja" count="0"/>
    <cacheHierarchy uniqueName="[Measures].[6_Broj nereješenih šteta na 0101]" caption="6_Broj nereješenih šteta na 0101" measure="1" displayFolder="" measureGroup="Statistika po vrstama osiguranja" count="0"/>
    <cacheHierarchy uniqueName="[Measures].[7_Stanje pričuva preijnosna premija bruto]" caption="7_Stanje pričuva preijnosna premija bruto" measure="1" displayFolder="" measureGroup="Statistika po vrstama osiguranja" count="0"/>
    <cacheHierarchy uniqueName="[Measures].[7_Stanje pričuva udio reosiguranja]" caption="7_Stanje pričuva udio reosiguranja" measure="1" displayFolder="" measureGroup="Statistika po vrstama osiguranja" count="0"/>
    <cacheHierarchy uniqueName="[Measures].[81_Pričuve za prijavljene štete bruto]" caption="81_Pričuve za prijavljene štete bruto" measure="1" displayFolder="" measureGroup="Statistika po vrstama osiguranja" count="0"/>
    <cacheHierarchy uniqueName="[Measures].[81_Pričuve za nastale a neprijavljene štete bruto]" caption="81_Pričuve za nastale a neprijavljene štete bruto" measure="1" displayFolder="" measureGroup="Statistika po vrstama osiguranja" count="0"/>
    <cacheHierarchy uniqueName="[Measures].[81_Pričuve za rente bruto]" caption="81_Pričuve za rente bruto" measure="1" displayFolder="" measureGroup="Statistika po vrstama osiguranja" count="0"/>
    <cacheHierarchy uniqueName="[Measures].[81_Pričuve za troškove obrade šteta bruto]" caption="81_Pričuve za troškove obrade šteta bruto" measure="1" displayFolder="" measureGroup="Statistika po vrstama osiguranja" count="0"/>
    <cacheHierarchy uniqueName="[Measures].[81_Udio reosiguranja u pričuvi šteta]" caption="81_Udio reosiguranja u pričuvi šteta" measure="1" displayFolder="" measureGroup="Statistika po vrstama osiguranja" count="0"/>
    <cacheHierarchy uniqueName="[Measures].[9_Pričuve za bonuse i popuste bruto]" caption="9_Pričuve za bonuse i popuste bruto" measure="1" displayFolder="" measureGroup="Statistika po vrstama osiguranja" count="0"/>
    <cacheHierarchy uniqueName="[Measures].[9_Pričuve udio reosiguranja]" caption="9_Pričuve udio reosiguranja" measure="1" displayFolder="" measureGroup="Statistika po vrstama osiguranja" count="0"/>
    <cacheHierarchy uniqueName="[Measures].[10_Pričuve za izravnavanje kolebanje šteta]" caption="10_Pričuve za izravnavanje kolebanje šteta" measure="1" displayFolder="" measureGroup="Statistika po vrstama osiguranja" count="0"/>
    <cacheHierarchy uniqueName="[Measures].[11_Ostale osigurateljno tehničke pričuve bruto]" caption="11_Ostale osigurateljno tehničke pričuve bruto" measure="1" displayFolder="" measureGroup="Statistika po vrstama osiguranja" count="0"/>
    <cacheHierarchy uniqueName="[Measures].[11_Ostale osigurateljno tehničke pričuve udio reosiguranja]" caption="11_Ostale osigurateljno tehničke pričuve udio reosiguranja" measure="1" displayFolder="" measureGroup="Statistika po vrstama osiguranja" count="0"/>
    <cacheHierarchy uniqueName="[Measures].[15_Troškovi uprave amortizacija bez građevinskih objekata]" caption="15_Troškovi uprave amortizacija bez građevinskih objekata" measure="1" displayFolder="" measureGroup="Statistika po vrstama osiguranja" count="0"/>
    <cacheHierarchy uniqueName="[Measures].[15_Troškovi uprave plaće porezi i doprinosi]" caption="15_Troškovi uprave plaće porezi i doprinosi" measure="1" displayFolder="" measureGroup="Statistika po vrstama osiguranja" count="0"/>
    <cacheHierarchy uniqueName="[Measures].[15_Troškovi uprave ostali troškovi]" caption="15_Troškovi uprave ostali troškovi" measure="1" displayFolder="" measureGroup="Statistika po vrstama osiguranja" count="0"/>
    <cacheHierarchy uniqueName="[Measures].[15_Provizija od reosiguratelja i udio u dobiti]" caption="15_Provizija od reosiguratelja i udio u dobiti" measure="1" displayFolder="" measureGroup="Statistika po vrstama osiguranja" count="0"/>
    <cacheHierarchy uniqueName="[Measures].[16_Troškovi pribave provizija]" caption="16_Troškovi pribave provizija" measure="1" displayFolder="" measureGroup="Statistika po vrstama osiguranja" count="0"/>
    <cacheHierarchy uniqueName="[Measures].[16_Troškovi pribave ostali]" caption="16_Troškovi pribave ostali" measure="1" displayFolder="" measureGroup="Statistika po vrstama osiguranja" count="0"/>
    <cacheHierarchy uniqueName="[Measures].[16_Promjena razgraničenih troškova pribave PM]" caption="16_Promjena razgraničenih troškova pribave PM" measure="1" displayFolder="" measureGroup="Statistika po vrstama osiguranja" count="0"/>
    <cacheHierarchy uniqueName="[Measures].[16_Stanje razgraničenih troškova Pribave3112]" caption="16_Stanje razgraničenih troškova Pribave3112" measure="1" displayFolder="" measureGroup="Statistika po vrstama osiguranja" count="0"/>
    <cacheHierarchy uniqueName="[Measures].[2_Premije Predane U Reosiguranje EUR]" caption="2_Premije Predane U Reosiguranje EUR" measure="1" displayFolder="2_EUR" measureGroup="Statistika po vrstama osiguranja" count="0"/>
    <cacheHierarchy uniqueName="[Measures].[2_Promjena Bruto Pricuva Prijenosnih Premija PM EUR]" caption="2_Promjena Bruto Pricuva Prijenosnih Premija PM EUR" measure="1" displayFolder="2_EUR" measureGroup="Statistika po vrstama osiguranja" count="0"/>
    <cacheHierarchy uniqueName="[Measures].[2_Promjena Pricuva Prijenosnih Premija Udio Reosiguranja PM EUR]" caption="2_Promjena Pricuva Prijenosnih Premija Udio Reosiguranja PM EUR" measure="1" displayFolder="2_EUR" measureGroup="Statistika po vrstama osiguranja" count="0"/>
    <cacheHierarchy uniqueName="[Measures].[3_Struktura Premije Tehnicka EUR]" caption="3_Struktura Premije Tehnicka EUR" measure="1" displayFolder="3_EUR" measureGroup="Statistika po vrstama osiguranja" count="0"/>
    <cacheHierarchy uniqueName="[Measures].[3_Struktura Premije Preventiva EUR]" caption="3_Struktura Premije Preventiva EUR" measure="1" displayFolder="3_EUR" measureGroup="Statistika po vrstama osiguranja" count="0"/>
    <cacheHierarchy uniqueName="[Measures].[3_Struktura Premije Djelatnost EUR]" caption="3_Struktura Premije Djelatnost EUR" measure="1" displayFolder="3_EUR" measureGroup="Statistika po vrstama osiguranja" count="0"/>
    <cacheHierarchy uniqueName="[Measures].[13_Broj osiguranja]" caption="13_Broj osiguranja" measure="1" displayFolder="" measureGroup="Statistika po rizicima" count="0"/>
    <cacheHierarchy uniqueName="[Measures].[13_Broj osiguranih osoba aktivne police kraj obračunskoga razdoblja]" caption="13_Broj osiguranih osoba aktivne police kraj obračunskoga razdoblja" measure="1" displayFolder="" measureGroup="Statistika po rizicima" count="0"/>
    <cacheHierarchy uniqueName="[Measures].[13_Iznos ugovorenih svota godišnjih renti s dodijeljenom dobiti]" caption="13_Iznos ugovorenih svota godišnjih renti s dodijeljenom dobiti" measure="1" displayFolder="" measureGroup="Statistika po rizicima" count="0"/>
    <cacheHierarchy uniqueName="[Measures].[13_Iznos godišnjih bruto premija policiranih]" caption="13_Iznos godišnjih bruto premija policiranih" measure="1" displayFolder="" measureGroup="Statistika po rizicima" count="0"/>
    <cacheHierarchy uniqueName="[Measures].[13_Ukalkulirani troškovi u bruto premiji]" caption="13_Ukalkulirani troškovi u bruto premiji" measure="1" displayFolder="" measureGroup="Statistika po rizicima" count="0"/>
    <cacheHierarchy uniqueName="[Measures].[13_Režijski dodatak iz premije]" caption="13_Režijski dodatak iz premije" measure="1" displayFolder="" measureGroup="Statistika po rizicima" count="0"/>
    <cacheHierarchy uniqueName="[Measures].[13_Bruto iznos matematičke pričuve cilmeriziran]" caption="13_Bruto iznos matematičke pričuve cilmeriziran" measure="1" displayFolder="" measureGroup="Statistika po rizicima" count="0"/>
    <cacheHierarchy uniqueName="[Measures].[13_Udio reosiguranja]" caption="13_Udio reosiguranja" measure="1" displayFolder="" measureGroup="Statistika po rizicima" count="0"/>
    <cacheHierarchy uniqueName="[Measures].[13_Iznos priznatog neamortiziranog troška provizije zaključenja osiguranja]" caption="13_Iznos priznatog neamortiziranog troška provizije zaključenja osiguranja" measure="1" displayFolder="" measureGroup="Statistika po rizicima" count="0"/>
    <cacheHierarchy uniqueName="[Measures].[13_Bruto iznos tehničke pričuve]" caption="13_Bruto iznos tehničke pričuve" measure="1" displayFolder="" measureGroup="Statistika po rizicima" count="0"/>
    <cacheHierarchy uniqueName="[Measures].[17_Broj osiguranih osoba tijekom godine]" caption="17_Broj osiguranih osoba tijekom godine" measure="1" displayFolder="" measureGroup="Statistika po rizicima" count="0"/>
    <cacheHierarchy uniqueName="[Measures].[17_Broj osiguranih osoba aktivne police3112]" caption="17_Broj osiguranih osoba aktivne police3112" measure="1" displayFolder="" measureGroup="Statistika po rizicima" count="0"/>
    <cacheHierarchy uniqueName="[Measures].[18_Broj osiguranih osoba tijekom godine u tuzemstvu]" caption="18_Broj osiguranih osoba tijekom godine u tuzemstvu" measure="1" displayFolder="" measureGroup="Statistika po rizicima" count="0"/>
    <cacheHierarchy uniqueName="[Measures].[18_Broj osiguranih osoba tijekom godine u inozemstvu]" caption="18_Broj osiguranih osoba tijekom godine u inozemstvu" measure="1" displayFolder="" measureGroup="Statistika po rizicima" count="0"/>
    <cacheHierarchy uniqueName="[Measures].[18_Broj osiguranih osoba aktivne police 3112 u tuzemstvu]" caption="18_Broj osiguranih osoba aktivne police 3112 u tuzemstvu" measure="1" displayFolder="" measureGroup="Statistika po rizicima" count="0"/>
    <cacheHierarchy uniqueName="[Measures].[18_Broj osiguranih osoba aktivne police 3112 u inozemstvu]" caption="18_Broj osiguranih osoba aktivne police 3112 u inozemstvu" measure="1" displayFolder="" measureGroup="Statistika po rizicima" count="0"/>
    <cacheHierarchy uniqueName="[Measures].[221_Broj osiguranja]" caption="221_Broj osiguranja" measure="1" displayFolder="" measureGroup="Statistika po rizicima" count="0"/>
    <cacheHierarchy uniqueName="[Measures].[221_Broj osiguranih objekata]" caption="221_Broj osiguranih objekata" measure="1" displayFolder="" measureGroup="Statistika po rizicima" count="0"/>
    <cacheHierarchy uniqueName="[Measures].[221_Zaračunata bruto premija]" caption="221_Zaračunata bruto premija" measure="1" displayFolder="" measureGroup="Statistika po rizicima" count="0"/>
    <cacheHierarchy uniqueName="[Measures].[221_Zaračunata funkcionalna premija]" caption="221_Zaračunata funkcionalna premija" measure="1" displayFolder="" measureGroup="Statistika po rizicima" count="0"/>
    <cacheHierarchy uniqueName="[Measures].[221_Stanje prijenosne premije bruto 0101]" caption="221_Stanje prijenosne premije bruto 0101" measure="1" displayFolder="" measureGroup="Statistika po rizicima" count="0"/>
    <cacheHierarchy uniqueName="[Measures].[221_Stanje prijenosne premije bruto 3112]" caption="221_Stanje prijenosne premije bruto 3112" measure="1" displayFolder="" measureGroup="Statistika po rizicima" count="0"/>
    <cacheHierarchy uniqueName="[Measures].[222_Broj likvidiranih šteta osobe]" caption="222_Broj likvidiranih šteta osobe" measure="1" displayFolder="" measureGroup="Statistika po rizicima" count="0"/>
    <cacheHierarchy uniqueName="[Measures].[222_Broj likvidiranih šteta stvari]" caption="222_Broj likvidiranih šteta stvari" measure="1" displayFolder="" measureGroup="Statistika po rizicima" count="0"/>
    <cacheHierarchy uniqueName="[Measures].[222_Likvidirane štete iznosi bruto odšteta osobe]" caption="222_Likvidirane štete iznosi bruto odšteta osobe" measure="1" displayFolder="" measureGroup="Statistika po rizicima" count="0"/>
    <cacheHierarchy uniqueName="[Measures].[222_Likvidirane štete iznosi bruto odšteta stvari]" caption="222_Likvidirane štete iznosi bruto odšteta stvari" measure="1" displayFolder="" measureGroup="Statistika po rizicima" count="0"/>
    <cacheHierarchy uniqueName="[Measures].[222_Pričuve broj šteta na osobama]" caption="222_Pričuve broj šteta na osobama" measure="1" displayFolder="" measureGroup="Statistika po rizicima" count="0"/>
    <cacheHierarchy uniqueName="[Measures].[222_Pričuve broj šteta na stvarima]" caption="222_Pričuve broj šteta na stvarima" measure="1" displayFolder="" measureGroup="Statistika po rizicima" count="0"/>
    <cacheHierarchy uniqueName="[Measures].[222_Pričuve rezervirani bruto iznosi odšteta osobe]" caption="222_Pričuve rezervirani bruto iznosi odšteta osobe" measure="1" displayFolder="" measureGroup="Statistika po rizicima" count="0"/>
    <cacheHierarchy uniqueName="[Measures].[222_Pričuve rezervirani bruto iznosi odšteta stvari]" caption="222_Pričuve rezervirani bruto iznosi odšteta stvari" measure="1" displayFolder="" measureGroup="Statistika po rizicima" count="0"/>
    <cacheHierarchy uniqueName="[Measures].[191_Broj ugovora o osiguranju]" caption="191_Broj ugovora o osiguranju" measure="1" displayFolder="" measureGroup="Statistike po podvrstama osiguranja" count="0"/>
    <cacheHierarchy uniqueName="[Measures].[191_Zaračunata bruto premija]" caption="191_Zaračunata bruto premija" measure="1" displayFolder="" measureGroup="Statistike po podvrstama osiguranja" count="0"/>
    <cacheHierarchy uniqueName="[Measures].[191_Zaračunata funkcionalna premija]" caption="191_Zaračunata funkcionalna premija" measure="1" displayFolder="" measureGroup="Statistike po podvrstama osiguranja" count="0"/>
    <cacheHierarchy uniqueName="[Measures].[191_Stanje prijenosne premije bruto 0101]" caption="191_Stanje prijenosne premije bruto 0101" measure="1" displayFolder="" measureGroup="Statistike po podvrstama osiguranja" count="0"/>
    <cacheHierarchy uniqueName="[Measures].[191_Stanje prijenosne premije bruto 3112]" caption="191_Stanje prijenosne premije bruto 3112" measure="1" displayFolder="" measureGroup="Statistike po podvrstama osiguranja" count="0"/>
    <cacheHierarchy uniqueName="[Measures].[192_Broj likvidiranih šteta smrt]" caption="192_Broj likvidiranih šteta smrt" measure="1" displayFolder="" measureGroup="Statistike po podvrstama osiguranja" count="0"/>
    <cacheHierarchy uniqueName="[Measures].[192_Broj likvidiranih šteta trajni invaliditet]" caption="192_Broj likvidiranih šteta trajni invaliditet" measure="1" displayFolder="" measureGroup="Statistike po podvrstama osiguranja" count="0"/>
    <cacheHierarchy uniqueName="[Measures].[192_Broj likvidiranih šteta ostalo]" caption="192_Broj likvidiranih šteta ostalo" measure="1" displayFolder="" measureGroup="Statistike po podvrstama osiguranja" count="0"/>
    <cacheHierarchy uniqueName="[Measures].[192_Iznos likvidiranih šteta smrt]" caption="192_Iznos likvidiranih šteta smrt" measure="1" displayFolder="" measureGroup="Statistike po podvrstama osiguranja" count="0"/>
    <cacheHierarchy uniqueName="[Measures].[192_Iznos likvidiranih šteta trajni invaliditet]" caption="192_Iznos likvidiranih šteta trajni invaliditet" measure="1" displayFolder="" measureGroup="Statistike po podvrstama osiguranja" count="0"/>
    <cacheHierarchy uniqueName="[Measures].[192_Iznos likvidiranih šteta ostalo]" caption="192_Iznos likvidiranih šteta ostalo" measure="1" displayFolder="" measureGroup="Statistike po podvrstama osiguranja" count="0"/>
    <cacheHierarchy uniqueName="[Measures].[192_Broj pričuva šteta smrt]" caption="192_Broj pričuva šteta smrt" measure="1" displayFolder="" measureGroup="Statistike po podvrstama osiguranja" count="0"/>
    <cacheHierarchy uniqueName="[Measures].[192_Broj pričuva šteta trajni invaliditet]" caption="192_Broj pričuva šteta trajni invaliditet" measure="1" displayFolder="" measureGroup="Statistike po podvrstama osiguranja" count="0"/>
    <cacheHierarchy uniqueName="[Measures].[192_Broj pričuva šteta otalo]" caption="192_Broj pričuva šteta otalo" measure="1" displayFolder="" measureGroup="Statistike po podvrstama osiguranja" count="0"/>
    <cacheHierarchy uniqueName="[Measures].[192_Rezervirani iznos pričuva šteta bruto smrt]" caption="192_Rezervirani iznos pričuva šteta bruto smrt" measure="1" displayFolder="" measureGroup="Statistike po podvrstama osiguranja" count="0"/>
    <cacheHierarchy uniqueName="[Measures].[192_Rezervirani iznos pričuva šteta bruto trajni invaliditet]" caption="192_Rezervirani iznos pričuva šteta bruto trajni invaliditet" measure="1" displayFolder="" measureGroup="Statistike po podvrstama osiguranja" count="0"/>
    <cacheHierarchy uniqueName="[Measures].[192_Rezervirani iznos pričuva šteta bruto ostalo]" caption="192_Rezervirani iznos pričuva šteta bruto ostalo" measure="1" displayFolder="" measureGroup="Statistike po podvrstama osiguranja" count="0"/>
    <cacheHierarchy uniqueName="[Measures].[201_Broj osiguranja]" caption="201_Broj osiguranja" measure="1" displayFolder="" measureGroup="Statistike po podvrstama osiguranja" count="0"/>
    <cacheHierarchy uniqueName="[Measures].[201_Broj osiguranih osoba]" caption="201_Broj osiguranih osoba" measure="1" displayFolder="" measureGroup="Statistike po podvrstama osiguranja" count="0"/>
    <cacheHierarchy uniqueName="[Measures].[201_Zaračunata bruto premija osiguranja]" caption="201_Zaračunata bruto premija osiguranja" measure="1" displayFolder="" measureGroup="Statistike po podvrstama osiguranja" count="0"/>
    <cacheHierarchy uniqueName="[Measures].[201_Zaračunata funkcionalna premija]" caption="201_Zaračunata funkcionalna premija" measure="1" displayFolder="" measureGroup="Statistike po podvrstama osiguranja" count="0"/>
    <cacheHierarchy uniqueName="[Measures].[201_Stanje prijenosne premije bruto 0101]" caption="201_Stanje prijenosne premije bruto 0101" measure="1" displayFolder="" measureGroup="Statistike po podvrstama osiguranja" count="0"/>
    <cacheHierarchy uniqueName="[Measures].[201_Stanje prijenosne premije bruto 3112]" caption="201_Stanje prijenosne premije bruto 3112" measure="1" displayFolder="" measureGroup="Statistike po podvrstama osiguranja" count="0"/>
    <cacheHierarchy uniqueName="[Measures].[202_Broj šteta za ozljede na radu]" caption="202_Broj šteta za ozljede na radu" measure="1" displayFolder="" measureGroup="Statistike po podvrstama osiguranja" count="0"/>
    <cacheHierarchy uniqueName="[Measures].[202_Broj šteta za profesionalne bolesti]" caption="202_Broj šteta za profesionalne bolesti" measure="1" displayFolder="" measureGroup="Statistike po podvrstama osiguranja" count="0"/>
    <cacheHierarchy uniqueName="[Measures].[202_Likvidirane štete bruto za ozljede na radu]" caption="202_Likvidirane štete bruto za ozljede na radu" measure="1" displayFolder="" measureGroup="Statistike po podvrstama osiguranja" count="0"/>
    <cacheHierarchy uniqueName="[Measures].[202_Likvidirane štete bruto za profesionalne bolesti]" caption="202_Likvidirane štete bruto za profesionalne bolesti" measure="1" displayFolder="" measureGroup="Statistike po podvrstama osiguranja" count="0"/>
    <cacheHierarchy uniqueName="[Measures].[202_Broj šteta u Pričuvi za ozljede na radu i profesionalne bolesti 0101]" caption="202_Broj šteta u Pričuvi za ozljede na radu i profesionalne bolesti 0101" measure="1" displayFolder="" measureGroup="Statistike po podvrstama osiguranja" count="0"/>
    <cacheHierarchy uniqueName="[Measures].[202_Broj šteta u Pričuvi za ozljede na radu i profesionalne bolesti 3112]" caption="202_Broj šteta u Pričuvi za ozljede na radu i profesionalne bolesti 3112" measure="1" displayFolder="" measureGroup="Statistike po podvrstama osiguranja" count="0"/>
    <cacheHierarchy uniqueName="[Measures].[202_Štete u pričuvi za ozljede na radu i profesionalne bolesti bruto 0101]" caption="202_Štete u pričuvi za ozljede na radu i profesionalne bolesti bruto 0101" measure="1" displayFolder="" measureGroup="Statistike po podvrstama osiguranja" count="0"/>
    <cacheHierarchy uniqueName="[Measures].[202_Štete u pričuvi za ozljede na radu i profesionalne bolesti bruto 3112]" caption="202_Štete u pričuvi za ozljede na radu i profesionalne bolesti bruto 3112" measure="1" displayFolder="" measureGroup="Statistike po podvrstama osiguranja" count="0"/>
    <cacheHierarchy uniqueName="[Measures].[211_Broj osiguranja]" caption="211_Broj osiguranja" measure="1" displayFolder="" measureGroup="Statistike po premijskim grupama" count="0"/>
    <cacheHierarchy uniqueName="[Measures].[211_Zaračunata bruto premija]" caption="211_Zaračunata bruto premija" measure="1" displayFolder="" measureGroup="Statistike po premijskim grupama" count="0"/>
    <cacheHierarchy uniqueName="[Measures].[211_Zaračunata funkcionalna premija]" caption="211_Zaračunata funkcionalna premija" measure="1" displayFolder="" measureGroup="Statistike po premijskim grupama" count="0"/>
    <cacheHierarchy uniqueName="[Measures].[211_Stanje prijenosnih premija bruto 0101]" caption="211_Stanje prijenosnih premija bruto 0101" measure="1" displayFolder="" measureGroup="Statistike po premijskim grupama" count="0"/>
    <cacheHierarchy uniqueName="[Measures].[211_Stanje prijenosnih premija bruto 3112]" caption="211_Stanje prijenosnih premija bruto 3112" measure="1" displayFolder="" measureGroup="Statistike po premijskim grupama" count="0"/>
    <cacheHierarchy uniqueName="[Measures].[212_Broj likvidiranih šteta osobe]" caption="212_Broj likvidiranih šteta osobe" measure="1" displayFolder="" measureGroup="Statistike po premijskim grupama" count="0"/>
    <cacheHierarchy uniqueName="[Measures].[212_Broj likvidiranih šteta stvari]" caption="212_Broj likvidiranih šteta stvari" measure="1" displayFolder="" measureGroup="Statistike po premijskim grupama" count="0"/>
    <cacheHierarchy uniqueName="[Measures].[212_Likvidirane šete bruto iznos odštete osobe]" caption="212_Likvidirane šete bruto iznos odštete osobe" measure="1" displayFolder="" measureGroup="Statistike po premijskim grupama" count="0"/>
    <cacheHierarchy uniqueName="[Measures].[212_Likvidirane šete bruto iznos odštete stvari]" caption="212_Likvidirane šete bruto iznos odštete stvari" measure="1" displayFolder="" measureGroup="Statistike po premijskim grupama" count="0"/>
    <cacheHierarchy uniqueName="[Measures].[212_Pričuva 3112  broj šteta na osobama]" caption="212_Pričuva 3112  broj šteta na osobama" measure="1" displayFolder="" measureGroup="Statistike po premijskim grupama" count="0"/>
    <cacheHierarchy uniqueName="[Measures].[212_Pričuva 3112  broj šteta na stvarima]" caption="212_Pričuva 3112  broj šteta na stvarima" measure="1" displayFolder="" measureGroup="Statistike po premijskim grupama" count="0"/>
    <cacheHierarchy uniqueName="[Measures].[212_Pričuva 3112 rezervirani bruto iznosi odšteta osobe]" caption="212_Pričuva 3112 rezervirani bruto iznosi odšteta osobe" measure="1" displayFolder="" measureGroup="Statistike po premijskim grupama" count="0"/>
    <cacheHierarchy uniqueName="[Measures].[212_Pričuva 3112 rezervirani bruto iznosi odšteta stvari]" caption="212_Pričuva 3112 rezervirani bruto iznosi odšteta stvari" measure="1" displayFolder="" measureGroup="Statistike po premijskim grupama" count="0"/>
    <cacheHierarchy uniqueName="[Measures].[12_Ostale osigurateljno tehničke pričuve bruto]" caption="12_Ostale osigurateljno tehničke pričuve bruto" measure="1" displayFolder="" measureGroup="Ostale osigurateljno tehničke pričuve" count="0"/>
    <cacheHierarchy uniqueName="[Measures].[12_Ostale osigurateljno tehničke pričuve udio reosiguranja]" caption="12_Ostale osigurateljno tehničke pričuve udio reosiguranja" measure="1" displayFolder="" measureGroup="Ostale osigurateljno tehničke pričuve" count="0"/>
    <cacheHierarchy uniqueName="[Measures].[14_Prijenosna premija neto od reosiguranja]" caption="14_Prijenosna premija neto od reosiguranja" measure="1" displayFolder="" measureGroup="Obračun učinka osigurateljno tehničkih pričuva" count="0"/>
    <cacheHierarchy uniqueName="[Measures].[14_Pričuve šteta neto od reosiguranja]" caption="14_Pričuve šteta neto od reosiguranja" measure="1" displayFolder="" measureGroup="Obračun učinka osigurateljno tehničkih pričuva" count="0"/>
    <cacheHierarchy uniqueName="[Measures].[14_Pričuve za bonuse i popuste neto od reosiguranja]" caption="14_Pričuve za bonuse i popuste neto od reosiguranja" measure="1" displayFolder="" measureGroup="Obračun učinka osigurateljno tehničkih pričuva" count="0"/>
    <cacheHierarchy uniqueName="[Measures].[14_Matematičke pricuve neto od reosiguranj]" caption="14_Matematičke pricuve neto od reosiguranj" measure="1" displayFolder="" measureGroup="Obračun učinka osigurateljno tehničkih pričuva" count="0"/>
    <cacheHierarchy uniqueName="[Measures].[14_Ostale osigurateljno tehničke pricuve neto od reosiguranja]" caption="14_Ostale osigurateljno tehničke pricuve neto od reosiguranja" measure="1" displayFolder="" measureGroup="Obračun učinka osigurateljno tehničkih pričuva" count="0"/>
    <cacheHierarchy uniqueName="[Measures].[24_Bruto premija]" caption="24_Bruto premija" measure="1" displayFolder="" measureGroup="Prodajni kanali" count="0"/>
    <cacheHierarchy uniqueName="[Measures].[23_Broj uposlenih]" caption="23_Broj uposlenih" measure="1" displayFolder="" measureGroup="Struktura uposlenih" count="0"/>
    <cacheHierarchy uniqueName="[Measures].[23_Prosječan broj uposlenih]" caption="23_Prosječan broj uposlenih" measure="1" displayFolder="" measureGroup="Struktura uposlenih prosjek" count="0"/>
    <cacheHierarchy uniqueName="[Measures].[23_Broj uposlenih na pribavi osiguranja]" caption="23_Broj uposlenih na pribavi osiguranja" measure="1" displayFolder="" measureGroup="Struktura uposlenih prosjek" count="0"/>
    <cacheHierarchy uniqueName="[Measures].[23_Broj uposlenih na likvidaciji šteta]" caption="23_Broj uposlenih na likvidaciji šteta" measure="1" displayFolder="" measureGroup="Struktura uposlenih prosjek" count="0"/>
    <cacheHierarchy uniqueName="[Measures].[4_Iznos zaračunate premije životnog osiguranja]" caption="4_Iznos zaračunate premije životnog osiguranja" measure="1" displayFolder="" measureGroup="Zaračunata premija životnih osiguranja" count="0"/>
    <cacheHierarchy uniqueName="[Measures].[Dostavljeno]" caption="Dostavljeno" measure="1" displayFolder="" measureGroup="HUOS dostava podataka" count="0"/>
    <cacheHierarchy uniqueName="[Measures].[Dostavljeno  AO1]" caption="Dostavljeno  AO1" measure="1" displayFolder="" measureGroup="AO1" count="0"/>
    <cacheHierarchy uniqueName="[Measures].[Dostavljeno  AO2]" caption="Dostavljeno  AO2" measure="1" displayFolder="" measureGroup="AO2" count="0"/>
    <cacheHierarchy uniqueName="[Measures].[Dostavljeno  AO3]" caption="Dostavljeno  AO3" measure="1" displayFolder="" measureGroup="AO3" count="0"/>
    <cacheHierarchy uniqueName="[Measures].[Zaračunata bruto premija novih osiguranja s višekratnim plaćanjem premije]" caption="Zaračunata bruto premija novih osiguranja s višekratnim plaćanjem premije" measure="1" displayFolder="" measureGroup="HUOS" count="0"/>
    <cacheHierarchy uniqueName="[Measures].[Broj novih osiguranja s višekratnim plaćanjem premije]" caption="Broj novih osiguranja s višekratnim plaćanjem premije" measure="1" displayFolder="" measureGroup="HUOS" count="0"/>
    <cacheHierarchy uniqueName="[Measures].[Zaračunata bruto premija novih osiguranja s jednokratnim plaćanjem premije]" caption="Zaračunata bruto premija novih osiguranja s jednokratnim plaćanjem premije" measure="1" displayFolder="" measureGroup="HUOS" count="0"/>
    <cacheHierarchy uniqueName="[Measures].[Broj novih osiguranja s jednokratnim plaćanjem premije]" caption="Broj novih osiguranja s jednokratnim plaćanjem premije" measure="1" displayFolder="" measureGroup="HUOS" count="0"/>
    <cacheHierarchy uniqueName="[Measures].[RDG Iznos]" caption="RDG Iznos" measure="1" displayFolder="" measureGroup="RDG" count="0"/>
    <cacheHierarchy uniqueName="[Measures].[Broj osiguranja 070809]" caption="Broj osiguranja 070809" measure="1" displayFolder="Kalkulirane mjere" measureGroup="Rizici" count="0"/>
    <cacheHierarchy uniqueName="[Measures].[Zaračunata bruto premija osiguranja 070809]" caption="Zaračunata bruto premija osiguranja 070809" measure="1" displayFolder="Kalkulirane mjere" measureGroup="Rizici" count="0"/>
    <cacheHierarchy uniqueName="[Measures].[Broj osiguranja 070809 RT]" caption="Broj osiguranja 070809 RT" measure="1" displayFolder="Kalkulirane mjere" measureGroup="Rizici" count="0"/>
    <cacheHierarchy uniqueName="[Measures].[Zaračunata bruto premija osiguranja 070809 RT]" caption="Zaračunata bruto premija osiguranja 070809 RT" measure="1" displayFolder="Kalkulirane mjere" measureGroup="Rizici" count="0"/>
    <cacheHierarchy uniqueName="[Measures].[Broj osiguranja- rizici RT]" caption="Broj osiguranja- rizici RT" measure="1" displayFolder="KAlkulirane mjere" measureGroup="Rizici" count="0"/>
    <cacheHierarchy uniqueName="[Measures].[Broj šteta - rizici RT]" caption="Broj šteta - rizici RT" measure="1" displayFolder="Kalkulirane mjere" measureGroup="Rizici" count="0"/>
    <cacheHierarchy uniqueName="[Measures].[Zaračunata bruto premija osiguranja- rizici RT]" caption="Zaračunata bruto premija osiguranja- rizici RT" measure="1" displayFolder="Kalkulirane mjere" measureGroup="Rizici" count="0"/>
    <cacheHierarchy uniqueName="[Measures].[Likvidirane štete bruto - rizici RT]" caption="Likvidirane štete bruto - rizici RT" measure="1" displayFolder="Kalkulirane mjere" measureGroup="Rizici" count="0"/>
    <cacheHierarchy uniqueName="[Measures].[Broj stavki bilance]" caption="Broj stavki bilance" measure="1" displayFolder="" measureGroup="Bilanca" count="0" hidden="1"/>
  </cacheHierarchies>
  <kpis count="0"/>
  <tupleCache>
    <entries count="1575">
      <n v="1078013.3199999998" in="0">
        <tpls c="5">
          <tpl fld="1" item="0"/>
          <tpl fld="7" item="0"/>
          <tpl fld="8" item="0"/>
          <tpl hier="60" item="4294967295"/>
          <tpl hier="64" item="0"/>
        </tpls>
      </n>
      <m>
        <tpls c="4">
          <tpl fld="7" item="0"/>
          <tpl fld="8" item="1"/>
          <tpl fld="6" item="2"/>
          <tpl hier="64" item="0"/>
        </tpls>
      </m>
      <m>
        <tpls c="4">
          <tpl fld="7" item="0"/>
          <tpl fld="8" item="1"/>
          <tpl fld="6" item="0"/>
          <tpl hier="64" item="0"/>
        </tpls>
      </m>
      <m>
        <tpls c="4">
          <tpl fld="7" item="0"/>
          <tpl fld="8" item="2"/>
          <tpl fld="6" item="0"/>
          <tpl hier="64" item="0"/>
        </tpls>
      </m>
      <n v="588157" in="1">
        <tpls c="5">
          <tpl fld="1" item="1"/>
          <tpl fld="7" item="0"/>
          <tpl fld="8" item="3"/>
          <tpl hier="54" item="4294967295"/>
          <tpl hier="64" item="0"/>
        </tpls>
      </n>
      <m>
        <tpls c="4">
          <tpl fld="7" item="0"/>
          <tpl fld="8" item="2"/>
          <tpl fld="6" item="4"/>
          <tpl hier="64" item="0"/>
        </tpls>
      </m>
      <n v="4673573885.6099987" in="0">
        <tpls c="5">
          <tpl hier="22" item="4294967295"/>
          <tpl fld="7" item="0"/>
          <tpl fld="8" item="0"/>
          <tpl fld="9" item="0"/>
          <tpl hier="64" item="0"/>
        </tpls>
      </n>
      <n v="1887143083.9200003" in="0">
        <tpls c="5">
          <tpl hier="22" item="4294967295"/>
          <tpl fld="7" item="0"/>
          <tpl fld="8" item="0"/>
          <tpl fld="9" item="1"/>
          <tpl hier="64" item="0"/>
        </tpls>
      </n>
      <n v="279222" in="1">
        <tpls c="5">
          <tpl fld="1" item="3"/>
          <tpl fld="7" item="0"/>
          <tpl fld="8" item="3"/>
          <tpl fld="2" item="0"/>
          <tpl hier="64" item="0"/>
        </tpls>
      </n>
      <n v="6560716969.5300007" in="0">
        <tpls c="5">
          <tpl hier="22" item="4294967295"/>
          <tpl fld="7" item="0"/>
          <tpl fld="8" item="0"/>
          <tpl hier="60" item="4294967295"/>
          <tpl hier="64" item="0"/>
        </tpls>
      </n>
      <n v="29584634.740000002" in="0">
        <tpls c="5">
          <tpl fld="1" item="10"/>
          <tpl fld="7" item="0"/>
          <tpl fld="8" item="0"/>
          <tpl fld="9" item="1"/>
          <tpl hier="64" item="0"/>
        </tpls>
      </n>
      <m>
        <tpls c="4">
          <tpl fld="7" item="0"/>
          <tpl fld="8" item="1"/>
          <tpl fld="6" item="5"/>
          <tpl hier="64" item="0"/>
        </tpls>
      </m>
      <n v="646811" in="1">
        <tpls c="4">
          <tpl fld="7" item="0"/>
          <tpl fld="8" item="3"/>
          <tpl fld="3" item="15"/>
          <tpl hier="64" item="0"/>
        </tpls>
      </n>
      <n v="15126515.149999999" in="0">
        <tpls c="4">
          <tpl fld="7" item="0"/>
          <tpl fld="8" item="0"/>
          <tpl fld="3" item="2"/>
          <tpl hier="64" item="0"/>
        </tpls>
      </n>
      <n v="12575" in="1">
        <tpls c="4">
          <tpl fld="7" item="0"/>
          <tpl fld="8" item="4"/>
          <tpl fld="3" item="5"/>
          <tpl hier="64" item="0"/>
        </tpls>
      </n>
      <n v="88628849.169999972" in="0">
        <tpls c="4">
          <tpl fld="7" item="0"/>
          <tpl fld="8" item="0"/>
          <tpl fld="3" item="0"/>
          <tpl hier="64" item="0"/>
        </tpls>
      </n>
      <n v="45692" in="1">
        <tpls c="4">
          <tpl fld="7" item="0"/>
          <tpl fld="8" item="4"/>
          <tpl fld="2" item="1"/>
          <tpl hier="64" item="0"/>
        </tpls>
      </n>
      <n v="3008" in="1">
        <tpls c="4">
          <tpl fld="7" item="0"/>
          <tpl fld="8" item="4"/>
          <tpl fld="3" item="16"/>
          <tpl hier="64" item="0"/>
        </tpls>
      </n>
      <n v="14463799.289999999" in="0">
        <tpls c="4">
          <tpl fld="7" item="0"/>
          <tpl fld="8" item="5"/>
          <tpl fld="3" item="0"/>
          <tpl hier="64" item="0"/>
        </tpls>
      </n>
      <m>
        <tpls c="4">
          <tpl fld="7" item="0"/>
          <tpl fld="8" item="1"/>
          <tpl fld="6" item="9"/>
          <tpl hier="64" item="0"/>
        </tpls>
      </m>
      <n v="70249" in="1">
        <tpls c="4">
          <tpl fld="7" item="0"/>
          <tpl fld="8" item="4"/>
          <tpl fld="3" item="7"/>
          <tpl hier="64" item="0"/>
        </tpls>
      </n>
      <m>
        <tpls c="4">
          <tpl fld="7" item="0"/>
          <tpl fld="8" item="2"/>
          <tpl fld="6" item="9"/>
          <tpl hier="64" item="0"/>
        </tpls>
      </m>
      <m>
        <tpls c="4">
          <tpl fld="7" item="0"/>
          <tpl fld="8" item="6"/>
          <tpl fld="6" item="3"/>
          <tpl hier="64" item="0"/>
        </tpls>
      </m>
      <m>
        <tpls c="4">
          <tpl fld="7" item="0"/>
          <tpl fld="8" item="6"/>
          <tpl fld="6" item="0"/>
          <tpl hier="64" item="0"/>
        </tpls>
      </m>
      <m>
        <tpls c="5">
          <tpl fld="1" item="6"/>
          <tpl fld="7" item="0"/>
          <tpl fld="8" item="3"/>
          <tpl fld="2" item="1"/>
          <tpl hier="64" item="0"/>
        </tpls>
      </m>
      <n v="0" in="1">
        <tpls c="5">
          <tpl fld="1" item="4"/>
          <tpl fld="7" item="0"/>
          <tpl fld="8" item="3"/>
          <tpl fld="2" item="1"/>
          <tpl hier="64" item="0"/>
        </tpls>
      </n>
      <n v="1480208" in="1">
        <tpls c="5">
          <tpl hier="22" item="4294967295"/>
          <tpl fld="7" item="0"/>
          <tpl fld="8" item="3"/>
          <tpl fld="2" item="1"/>
          <tpl hier="64" item="0"/>
        </tpls>
      </n>
      <m>
        <tpls c="4">
          <tpl fld="7" item="0"/>
          <tpl fld="8" item="1"/>
          <tpl fld="6" item="7"/>
          <tpl hier="64" item="0"/>
        </tpls>
      </m>
      <n v="168982" in="1">
        <tpls c="5">
          <tpl fld="1" item="2"/>
          <tpl fld="7" item="0"/>
          <tpl fld="8" item="3"/>
          <tpl hier="54" item="4294967295"/>
          <tpl hier="64" item="0"/>
        </tpls>
      </n>
      <n v="0" in="1">
        <tpls c="5">
          <tpl fld="1" item="8"/>
          <tpl fld="7" item="0"/>
          <tpl fld="8" item="3"/>
          <tpl fld="2" item="0"/>
          <tpl hier="64" item="0"/>
        </tpls>
      </n>
      <n v="137737" in="1">
        <tpls c="5">
          <tpl fld="1" item="2"/>
          <tpl fld="7" item="0"/>
          <tpl fld="8" item="3"/>
          <tpl fld="2" item="1"/>
          <tpl hier="64" item="0"/>
        </tpls>
      </n>
      <m>
        <tpls c="4">
          <tpl fld="7" item="0"/>
          <tpl fld="8" item="6"/>
          <tpl fld="6" item="4"/>
          <tpl hier="64" item="0"/>
        </tpls>
      </m>
      <n v="77521" in="1">
        <tpls c="5">
          <tpl fld="1" item="8"/>
          <tpl fld="7" item="0"/>
          <tpl fld="8" item="3"/>
          <tpl fld="2" item="1"/>
          <tpl hier="64" item="0"/>
        </tpls>
      </n>
      <n v="300463" in="1">
        <tpls c="5">
          <tpl fld="1" item="11"/>
          <tpl fld="7" item="0"/>
          <tpl fld="8" item="3"/>
          <tpl hier="54" item="4294967295"/>
          <tpl hier="64" item="0"/>
        </tpls>
      </n>
      <n v="139094197.04999998" in="0">
        <tpls c="5">
          <tpl fld="1" item="13"/>
          <tpl fld="7" item="0"/>
          <tpl fld="8" item="0"/>
          <tpl hier="60" item="4294967295"/>
          <tpl hier="64" item="0"/>
        </tpls>
      </n>
      <n v="588157" in="1">
        <tpls c="5">
          <tpl fld="1" item="1"/>
          <tpl fld="7" item="0"/>
          <tpl fld="8" item="3"/>
          <tpl fld="2" item="0"/>
          <tpl hier="64" item="0"/>
        </tpls>
      </n>
      <n v="105392" in="1">
        <tpls c="5">
          <tpl fld="1" item="3"/>
          <tpl fld="7" item="0"/>
          <tpl fld="8" item="3"/>
          <tpl fld="2" item="1"/>
          <tpl hier="64" item="0"/>
        </tpls>
      </n>
      <m>
        <tpls c="4">
          <tpl fld="7" item="0"/>
          <tpl fld="8" item="6"/>
          <tpl fld="6" item="5"/>
          <tpl hier="64" item="0"/>
        </tpls>
      </m>
      <n v="72388762.060000002" in="0">
        <tpls c="4">
          <tpl fld="7" item="0"/>
          <tpl fld="8" item="5"/>
          <tpl fld="3" item="22"/>
          <tpl hier="64" item="0"/>
        </tpls>
      </n>
      <n v="180" in="1">
        <tpls c="4">
          <tpl fld="7" item="0"/>
          <tpl fld="8" item="3"/>
          <tpl fld="3" item="17"/>
          <tpl hier="64" item="0"/>
        </tpls>
      </n>
      <m>
        <tpls c="4">
          <tpl fld="7" item="0"/>
          <tpl fld="8" item="1"/>
          <tpl fld="6" item="10"/>
          <tpl hier="64" item="0"/>
        </tpls>
      </m>
      <n v="149664073.59" in="0">
        <tpls c="4">
          <tpl fld="7" item="0"/>
          <tpl fld="8" item="0"/>
          <tpl fld="3" item="8"/>
          <tpl hier="64" item="0"/>
        </tpls>
      </n>
      <n v="34442" in="1">
        <tpls c="4">
          <tpl fld="7" item="0"/>
          <tpl fld="8" item="3"/>
          <tpl fld="3" item="13"/>
          <tpl hier="64" item="0"/>
        </tpls>
      </n>
      <n v="1480208" in="1">
        <tpls c="4">
          <tpl fld="7" item="0"/>
          <tpl fld="8" item="3"/>
          <tpl fld="2" item="1"/>
          <tpl hier="64" item="0"/>
        </tpls>
      </n>
      <n v="236209" in="1">
        <tpls c="5">
          <tpl fld="1" item="16"/>
          <tpl fld="7" item="0"/>
          <tpl fld="8" item="3"/>
          <tpl hier="54" item="4294967295"/>
          <tpl hier="64" item="0"/>
        </tpls>
      </n>
      <m>
        <tpls c="4">
          <tpl fld="7" item="0"/>
          <tpl fld="8" item="7"/>
          <tpl fld="6" item="1"/>
          <tpl hier="64" item="0"/>
        </tpls>
      </m>
      <n v="0" in="0">
        <tpls c="4">
          <tpl fld="7" item="0"/>
          <tpl fld="8" item="5"/>
          <tpl fld="3" item="19"/>
          <tpl hier="64" item="0"/>
        </tpls>
      </n>
      <n v="0" in="0">
        <tpls c="4">
          <tpl fld="7" item="0"/>
          <tpl fld="8" item="5"/>
          <tpl fld="3" item="1"/>
          <tpl hier="64" item="0"/>
        </tpls>
      </n>
      <m>
        <tpls c="4">
          <tpl fld="7" item="0"/>
          <tpl fld="8" item="2"/>
          <tpl fld="6" item="11"/>
          <tpl hier="64" item="0"/>
        </tpls>
      </m>
      <m>
        <tpls c="4">
          <tpl fld="7" item="0"/>
          <tpl fld="8" item="2"/>
          <tpl fld="6" item="5"/>
          <tpl hier="64" item="0"/>
        </tpls>
      </m>
      <n v="12516" in="1">
        <tpls c="5">
          <tpl fld="1" item="18"/>
          <tpl fld="7" item="0"/>
          <tpl fld="8" item="3"/>
          <tpl fld="2" item="0"/>
          <tpl hier="64" item="0"/>
        </tpls>
      </n>
      <n v="18770" in="1">
        <tpls c="5">
          <tpl fld="1" item="17"/>
          <tpl fld="7" item="0"/>
          <tpl fld="8" item="3"/>
          <tpl hier="54" item="4294967295"/>
          <tpl hier="64" item="0"/>
        </tpls>
      </n>
      <m>
        <tpls c="5">
          <tpl fld="1" item="6"/>
          <tpl fld="7" item="0"/>
          <tpl fld="8" item="3"/>
          <tpl fld="2" item="0"/>
          <tpl hier="64" item="0"/>
        </tpls>
      </m>
      <n v="48469" in="1">
        <tpls c="5">
          <tpl fld="1" item="16"/>
          <tpl fld="7" item="0"/>
          <tpl fld="8" item="3"/>
          <tpl fld="2" item="1"/>
          <tpl hier="64" item="0"/>
        </tpls>
      </n>
      <n v="0" in="1">
        <tpls c="4">
          <tpl fld="7" item="0"/>
          <tpl fld="8" item="4"/>
          <tpl fld="3" item="17"/>
          <tpl hier="64" item="0"/>
        </tpls>
      </n>
      <n v="3689348.3200000003" in="0">
        <tpls c="4">
          <tpl fld="7" item="0"/>
          <tpl fld="8" item="0"/>
          <tpl fld="3" item="17"/>
          <tpl hier="64" item="0"/>
        </tpls>
      </n>
      <n v="384614" in="1">
        <tpls c="5">
          <tpl fld="1" item="3"/>
          <tpl fld="7" item="0"/>
          <tpl fld="8" item="3"/>
          <tpl hier="54" item="4294967295"/>
          <tpl hier="64" item="0"/>
        </tpls>
      </n>
      <n v="3714" in="1">
        <tpls c="4">
          <tpl fld="7" item="0"/>
          <tpl fld="8" item="3"/>
          <tpl fld="3" item="9"/>
          <tpl hier="64" item="0"/>
        </tpls>
      </n>
      <n v="1150" in="1">
        <tpls c="4">
          <tpl fld="7" item="0"/>
          <tpl fld="8" item="4"/>
          <tpl fld="3" item="22"/>
          <tpl hier="64" item="0"/>
        </tpls>
      </n>
      <n v="3770538.7900000005" in="0">
        <tpls c="4">
          <tpl fld="7" item="0"/>
          <tpl fld="8" item="0"/>
          <tpl fld="3" item="20"/>
          <tpl hier="64" item="0"/>
        </tpls>
      </n>
      <n v="114451.55" in="0">
        <tpls c="4">
          <tpl fld="7" item="0"/>
          <tpl fld="8" item="5"/>
          <tpl fld="3" item="18"/>
          <tpl hier="64" item="0"/>
        </tpls>
      </n>
      <n v="6939228" in="1">
        <tpls c="4">
          <tpl fld="7" item="0"/>
          <tpl fld="8" item="3"/>
          <tpl hier="54" item="4294967295"/>
          <tpl hier="64" item="0"/>
        </tpls>
      </n>
      <n v="148382037.67000002" in="0">
        <tpls c="4">
          <tpl fld="7" item="0"/>
          <tpl fld="8" item="0"/>
          <tpl fld="3" item="22"/>
          <tpl hier="64" item="0"/>
        </tpls>
      </n>
      <m>
        <tpls c="4">
          <tpl fld="7" item="0"/>
          <tpl fld="8" item="1"/>
          <tpl fld="6" item="4"/>
          <tpl hier="64" item="0"/>
        </tpls>
      </m>
      <n v="154459" in="1">
        <tpls c="5">
          <tpl fld="1" item="13"/>
          <tpl fld="7" item="0"/>
          <tpl fld="8" item="3"/>
          <tpl fld="2" item="0"/>
          <tpl hier="64" item="0"/>
        </tpls>
      </n>
      <m>
        <tpls c="4">
          <tpl fld="7" item="0"/>
          <tpl fld="8" item="6"/>
          <tpl fld="6" item="1"/>
          <tpl hier="64" item="0"/>
        </tpls>
      </m>
      <m>
        <tpls c="4">
          <tpl fld="7" item="0"/>
          <tpl fld="8" item="7"/>
          <tpl fld="6" item="6"/>
          <tpl hier="64" item="0"/>
        </tpls>
      </m>
      <n v="220255827.34999996" in="0">
        <tpls c="4">
          <tpl fld="7" item="0"/>
          <tpl fld="8" item="0"/>
          <tpl fld="3" item="23"/>
          <tpl hier="64" item="0"/>
        </tpls>
      </n>
      <m>
        <tpls c="4">
          <tpl fld="7" item="0"/>
          <tpl fld="8" item="2"/>
          <tpl fld="6" item="13"/>
          <tpl hier="64" item="0"/>
        </tpls>
      </m>
      <n v="1078013.3199999998" in="0">
        <tpls c="5">
          <tpl fld="1" item="0"/>
          <tpl fld="7" item="0"/>
          <tpl fld="8" item="0"/>
          <tpl fld="9" item="1"/>
          <tpl hier="64" item="0"/>
        </tpls>
      </n>
      <n v="84676347.319999978" in="0">
        <tpls c="4">
          <tpl fld="7" item="0"/>
          <tpl fld="8" item="5"/>
          <tpl fld="3" item="5"/>
          <tpl hier="64" item="0"/>
        </tpls>
      </n>
      <m>
        <tpls c="4">
          <tpl fld="7" item="0"/>
          <tpl fld="8" item="7"/>
          <tpl fld="6" item="2"/>
          <tpl hier="64" item="0"/>
        </tpls>
      </m>
      <m>
        <tpls c="4">
          <tpl fld="7" item="0"/>
          <tpl fld="8" item="1"/>
          <tpl fld="6" item="1"/>
          <tpl hier="64" item="0"/>
        </tpls>
      </m>
      <n v="5204" in="1">
        <tpls c="4">
          <tpl fld="7" item="0"/>
          <tpl fld="8" item="4"/>
          <tpl fld="3" item="10"/>
          <tpl hier="64" item="0"/>
        </tpls>
      </n>
      <n v="20442508.270000018" in="0">
        <tpls c="5">
          <tpl fld="1" item="2"/>
          <tpl fld="7" item="0"/>
          <tpl fld="8" item="0"/>
          <tpl fld="9" item="0"/>
          <tpl hier="64" item="0"/>
        </tpls>
      </n>
      <n v="221531249.82999995" in="0">
        <tpls c="5">
          <tpl fld="1" item="3"/>
          <tpl fld="7" item="0"/>
          <tpl fld="8" item="0"/>
          <tpl fld="9" item="0"/>
          <tpl hier="64" item="0"/>
        </tpls>
      </n>
      <n v="187740" in="1">
        <tpls c="5">
          <tpl fld="1" item="16"/>
          <tpl fld="7" item="0"/>
          <tpl fld="8" item="3"/>
          <tpl fld="2" item="0"/>
          <tpl hier="64" item="0"/>
        </tpls>
      </n>
      <n v="58289" in="1">
        <tpls c="5">
          <tpl fld="1" item="14"/>
          <tpl fld="7" item="0"/>
          <tpl fld="8" item="3"/>
          <tpl hier="54" item="4294967295"/>
          <tpl hier="64" item="0"/>
        </tpls>
      </n>
      <n v="135999000" in="0">
        <tpls c="5">
          <tpl fld="1" item="5"/>
          <tpl fld="7" item="0"/>
          <tpl fld="8" item="0"/>
          <tpl hier="60" item="4294967295"/>
          <tpl hier="64" item="0"/>
        </tpls>
      </n>
      <n v="98621422.529999956" in="0">
        <tpls c="4">
          <tpl fld="7" item="0"/>
          <tpl fld="8" item="5"/>
          <tpl fld="3" item="4"/>
          <tpl hier="64" item="0"/>
        </tpls>
      </n>
      <m>
        <tpls c="4">
          <tpl fld="7" item="0"/>
          <tpl fld="8" item="7"/>
          <tpl fld="6" item="5"/>
          <tpl hier="64" item="0"/>
        </tpls>
      </m>
      <m>
        <tpls c="4">
          <tpl fld="7" item="0"/>
          <tpl fld="8" item="2"/>
          <tpl fld="6" item="7"/>
          <tpl hier="64" item="0"/>
        </tpls>
      </m>
      <m>
        <tpls c="4">
          <tpl fld="7" item="0"/>
          <tpl fld="8" item="1"/>
          <tpl fld="6" item="12"/>
          <tpl hier="64" item="0"/>
        </tpls>
      </m>
      <n v="43739" in="1">
        <tpls c="5">
          <tpl fld="1" item="5"/>
          <tpl fld="7" item="0"/>
          <tpl fld="8" item="3"/>
          <tpl fld="2" item="0"/>
          <tpl hier="64" item="0"/>
        </tpls>
      </n>
      <n v="39492430.520000003" in="0">
        <tpls c="4">
          <tpl fld="7" item="0"/>
          <tpl fld="8" item="0"/>
          <tpl fld="3" item="14"/>
          <tpl hier="64" item="0"/>
        </tpls>
      </n>
      <m>
        <tpls c="5">
          <tpl fld="1" item="0"/>
          <tpl fld="7" item="0"/>
          <tpl fld="8" item="0"/>
          <tpl fld="9" item="0"/>
          <tpl hier="64" item="0"/>
        </tpls>
      </m>
      <m>
        <tpls c="4">
          <tpl fld="7" item="0"/>
          <tpl fld="8" item="7"/>
          <tpl fld="6" item="8"/>
          <tpl hier="64" item="0"/>
        </tpls>
      </m>
      <n v="1850956.9800000002" in="0">
        <tpls c="4">
          <tpl fld="7" item="0"/>
          <tpl fld="8" item="0"/>
          <tpl fld="3" item="18"/>
          <tpl hier="64" item="0"/>
        </tpls>
      </n>
      <m>
        <tpls c="5">
          <tpl fld="1" item="17"/>
          <tpl fld="7" item="0"/>
          <tpl fld="8" item="0"/>
          <tpl fld="9" item="0"/>
          <tpl hier="64" item="0"/>
        </tpls>
      </m>
      <n v="6939228" in="1">
        <tpls c="5">
          <tpl hier="22" item="4294967295"/>
          <tpl fld="7" item="0"/>
          <tpl fld="8" item="3"/>
          <tpl hier="54" item="4294967295"/>
          <tpl hier="64" item="0"/>
        </tpls>
      </n>
      <n v="1899500994.6300001" in="0">
        <tpls c="4">
          <tpl fld="7" item="0"/>
          <tpl fld="8" item="0"/>
          <tpl fld="3" item="6"/>
          <tpl hier="64" item="0"/>
        </tpls>
      </n>
      <n v="16516" in="1">
        <tpls c="4">
          <tpl fld="7" item="0"/>
          <tpl fld="8" item="3"/>
          <tpl fld="3" item="22"/>
          <tpl hier="64" item="0"/>
        </tpls>
      </n>
      <n v="23203" in="1">
        <tpls c="4">
          <tpl fld="7" item="0"/>
          <tpl fld="8" item="4"/>
          <tpl fld="3" item="11"/>
          <tpl hier="64" item="0"/>
        </tpls>
      </n>
      <m>
        <tpls c="4">
          <tpl fld="7" item="0"/>
          <tpl fld="8" item="2"/>
          <tpl fld="6" item="14"/>
          <tpl hier="64" item="0"/>
        </tpls>
      </m>
      <n v="469633901.9199999" in="0">
        <tpls c="4">
          <tpl fld="7" item="0"/>
          <tpl fld="8" item="0"/>
          <tpl fld="3" item="11"/>
          <tpl hier="64" item="0"/>
        </tpls>
      </n>
      <n v="0" in="1">
        <tpls c="5">
          <tpl fld="1" item="1"/>
          <tpl fld="7" item="0"/>
          <tpl fld="8" item="3"/>
          <tpl fld="2" item="1"/>
          <tpl hier="64" item="0"/>
        </tpls>
      </n>
      <m>
        <tpls c="4">
          <tpl fld="7" item="0"/>
          <tpl fld="8" item="1"/>
          <tpl fld="6" item="11"/>
          <tpl hier="64" item="0"/>
        </tpls>
      </m>
      <n v="7349" in="1">
        <tpls c="4">
          <tpl fld="7" item="0"/>
          <tpl fld="8" item="3"/>
          <tpl fld="3" item="18"/>
          <tpl hier="64" item="0"/>
        </tpls>
      </n>
      <m>
        <tpls c="4">
          <tpl fld="7" item="0"/>
          <tpl fld="8" item="7"/>
          <tpl fld="6" item="4"/>
          <tpl hier="64" item="0"/>
        </tpls>
      </m>
      <n v="0" in="1">
        <tpls c="5">
          <tpl fld="1" item="24"/>
          <tpl fld="7" item="0"/>
          <tpl fld="8" item="3"/>
          <tpl fld="2" item="0"/>
          <tpl hier="64" item="0"/>
        </tpls>
      </n>
      <m>
        <tpls c="4">
          <tpl fld="7" item="0"/>
          <tpl fld="8" item="7"/>
          <tpl fld="6" item="10"/>
          <tpl hier="64" item="0"/>
        </tpls>
      </m>
      <m>
        <tpls c="4">
          <tpl fld="7" item="0"/>
          <tpl fld="8" item="6"/>
          <tpl fld="6" item="2"/>
          <tpl hier="64" item="0"/>
        </tpls>
      </m>
      <n v="6081087.2499999991" in="0">
        <tpls c="4">
          <tpl fld="7" item="0"/>
          <tpl fld="8" item="0"/>
          <tpl fld="3" item="24"/>
          <tpl hier="64" item="0"/>
        </tpls>
      </n>
      <n v="1875465" in="1">
        <tpls c="5">
          <tpl fld="1" item="25"/>
          <tpl fld="7" item="0"/>
          <tpl fld="8" item="3"/>
          <tpl hier="54" item="4294967295"/>
          <tpl hier="64" item="0"/>
        </tpls>
      </n>
      <m>
        <tpls c="5">
          <tpl fld="1" item="6"/>
          <tpl fld="7" item="0"/>
          <tpl fld="8" item="3"/>
          <tpl hier="54" item="4294967295"/>
          <tpl hier="64" item="0"/>
        </tpls>
      </m>
      <n v="7685011.1599999992" in="0">
        <tpls c="4">
          <tpl fld="7" item="0"/>
          <tpl fld="8" item="5"/>
          <tpl fld="3" item="2"/>
          <tpl hier="64" item="0"/>
        </tpls>
      </n>
      <n v="58289" in="1">
        <tpls c="5">
          <tpl fld="1" item="14"/>
          <tpl fld="7" item="0"/>
          <tpl fld="8" item="3"/>
          <tpl fld="2" item="0"/>
          <tpl hier="64" item="0"/>
        </tpls>
      </n>
      <m>
        <tpls c="4">
          <tpl fld="7" item="0"/>
          <tpl fld="8" item="2"/>
          <tpl fld="6" item="1"/>
          <tpl hier="64" item="0"/>
        </tpls>
      </m>
      <n v="652938" in="1">
        <tpls c="4">
          <tpl fld="7" item="0"/>
          <tpl fld="8" item="4"/>
          <tpl fld="3" item="23"/>
          <tpl hier="64" item="0"/>
        </tpls>
      </n>
      <m>
        <tpls c="4">
          <tpl fld="7" item="0"/>
          <tpl fld="8" item="6"/>
          <tpl fld="6" item="10"/>
          <tpl hier="64" item="0"/>
        </tpls>
      </m>
      <m>
        <tpls c="4">
          <tpl fld="7" item="0"/>
          <tpl fld="8" item="2"/>
          <tpl fld="6" item="3"/>
          <tpl hier="64" item="0"/>
        </tpls>
      </m>
      <n v="186396" in="1">
        <tpls c="5">
          <tpl fld="1" item="11"/>
          <tpl fld="7" item="0"/>
          <tpl fld="8" item="3"/>
          <tpl fld="2" item="0"/>
          <tpl hier="64" item="0"/>
        </tpls>
      </n>
      <n v="390357" in="1">
        <tpls c="4">
          <tpl fld="7" item="0"/>
          <tpl fld="8" item="3"/>
          <tpl fld="3" item="11"/>
          <tpl hier="64" item="0"/>
        </tpls>
      </n>
      <n v="8245" in="1">
        <tpls c="5">
          <tpl fld="1" item="24"/>
          <tpl fld="7" item="0"/>
          <tpl fld="8" item="3"/>
          <tpl fld="2" item="1"/>
          <tpl hier="64" item="0"/>
        </tpls>
      </n>
      <n v="923661" in="1">
        <tpls c="5">
          <tpl fld="1" item="20"/>
          <tpl fld="7" item="0"/>
          <tpl fld="8" item="3"/>
          <tpl hier="54" item="4294967295"/>
          <tpl hier="64" item="0"/>
        </tpls>
      </n>
      <m>
        <tpls c="4">
          <tpl fld="7" item="0"/>
          <tpl fld="8" item="7"/>
          <tpl fld="6" item="7"/>
          <tpl hier="64" item="0"/>
        </tpls>
      </m>
      <m>
        <tpls c="5">
          <tpl fld="1" item="18"/>
          <tpl fld="7" item="0"/>
          <tpl fld="8" item="3"/>
          <tpl fld="2" item="1"/>
          <tpl hier="64" item="0"/>
        </tpls>
      </m>
      <n v="1711963" in="1">
        <tpls c="5">
          <tpl fld="1" item="25"/>
          <tpl fld="7" item="0"/>
          <tpl fld="8" item="3"/>
          <tpl fld="2" item="0"/>
          <tpl hier="64" item="0"/>
        </tpls>
      </n>
      <n v="139094197.04999998" in="0">
        <tpls c="5">
          <tpl fld="1" item="13"/>
          <tpl fld="7" item="0"/>
          <tpl fld="8" item="0"/>
          <tpl fld="9" item="0"/>
          <tpl hier="64" item="0"/>
        </tpls>
      </n>
      <n v="491992712.24999994" in="0">
        <tpls c="4">
          <tpl fld="7" item="0"/>
          <tpl fld="8" item="0"/>
          <tpl fld="3" item="7"/>
          <tpl hier="64" item="0"/>
        </tpls>
      </n>
      <n v="77516245.179999992" in="0">
        <tpls c="4">
          <tpl fld="7" item="0"/>
          <tpl fld="8" item="0"/>
          <tpl fld="3" item="10"/>
          <tpl hier="64" item="0"/>
        </tpls>
      </n>
      <n v="425545969.73999995" in="0">
        <tpls c="4">
          <tpl fld="7" item="0"/>
          <tpl fld="8" item="5"/>
          <tpl fld="3" item="7"/>
          <tpl hier="64" item="0"/>
        </tpls>
      </n>
      <m>
        <tpls c="4">
          <tpl fld="7" item="0"/>
          <tpl fld="8" item="1"/>
          <tpl fld="6" item="18"/>
          <tpl hier="64" item="0"/>
        </tpls>
      </m>
      <n v="1082801572.2099996" in="0">
        <tpls c="4">
          <tpl fld="7" item="0"/>
          <tpl fld="8" item="5"/>
          <tpl fld="2" item="1"/>
          <tpl hier="64" item="0"/>
        </tpls>
      </n>
      <n v="628" in="1">
        <tpls c="4">
          <tpl fld="7" item="0"/>
          <tpl fld="8" item="4"/>
          <tpl fld="3" item="2"/>
          <tpl hier="64" item="0"/>
        </tpls>
      </n>
      <m>
        <tpls c="5">
          <tpl fld="1" item="15"/>
          <tpl fld="7" item="0"/>
          <tpl fld="8" item="3"/>
          <tpl fld="2" item="1"/>
          <tpl hier="64" item="0"/>
        </tpls>
      </m>
      <m>
        <tpls c="4">
          <tpl fld="7" item="0"/>
          <tpl fld="8" item="7"/>
          <tpl fld="6" item="9"/>
          <tpl hier="64" item="0"/>
        </tpls>
      </m>
      <n v="0" in="1">
        <tpls c="5">
          <tpl fld="1" item="22"/>
          <tpl fld="7" item="0"/>
          <tpl fld="8" item="3"/>
          <tpl fld="2" item="1"/>
          <tpl hier="64" item="0"/>
        </tpls>
      </n>
      <m>
        <tpls c="4">
          <tpl fld="7" item="0"/>
          <tpl fld="8" item="6"/>
          <tpl fld="6" item="6"/>
          <tpl hier="64" item="0"/>
        </tpls>
      </m>
      <m>
        <tpls c="4">
          <tpl fld="7" item="0"/>
          <tpl fld="8" item="7"/>
          <tpl fld="6" item="11"/>
          <tpl hier="64" item="0"/>
        </tpls>
      </m>
      <n v="12516" in="1">
        <tpls c="5">
          <tpl fld="1" item="18"/>
          <tpl fld="7" item="0"/>
          <tpl fld="8" item="3"/>
          <tpl hier="54" item="4294967295"/>
          <tpl hier="64" item="0"/>
        </tpls>
      </n>
      <n v="43739" in="1">
        <tpls c="5">
          <tpl fld="1" item="5"/>
          <tpl fld="7" item="0"/>
          <tpl fld="8" item="3"/>
          <tpl hier="54" item="4294967295"/>
          <tpl hier="64" item="0"/>
        </tpls>
      </n>
      <m>
        <tpls c="5">
          <tpl fld="1" item="13"/>
          <tpl fld="7" item="0"/>
          <tpl fld="8" item="0"/>
          <tpl fld="9" item="1"/>
          <tpl hier="64" item="0"/>
        </tpls>
      </m>
      <n v="728535245.2099998" in="0">
        <tpls c="4">
          <tpl fld="7" item="0"/>
          <tpl fld="8" item="5"/>
          <tpl fld="3" item="6"/>
          <tpl hier="64" item="0"/>
        </tpls>
      </n>
      <n v="276" in="1">
        <tpls c="4">
          <tpl fld="7" item="0"/>
          <tpl fld="8" item="4"/>
          <tpl fld="3" item="20"/>
          <tpl hier="64" item="0"/>
        </tpls>
      </n>
      <m>
        <tpls c="4">
          <tpl fld="7" item="0"/>
          <tpl fld="8" item="1"/>
          <tpl fld="6" item="3"/>
          <tpl hier="64" item="0"/>
        </tpls>
      </m>
      <n v="25703" in="1">
        <tpls c="5">
          <tpl fld="1" item="4"/>
          <tpl fld="7" item="0"/>
          <tpl fld="8" item="3"/>
          <tpl fld="2" item="0"/>
          <tpl hier="64" item="0"/>
        </tpls>
      </n>
      <m>
        <tpls c="4">
          <tpl fld="7" item="0"/>
          <tpl fld="8" item="7"/>
          <tpl fld="6" item="0"/>
          <tpl hier="64" item="0"/>
        </tpls>
      </m>
      <n v="5459020" in="1">
        <tpls c="4">
          <tpl fld="7" item="0"/>
          <tpl fld="8" item="3"/>
          <tpl fld="2" item="0"/>
          <tpl hier="64" item="0"/>
        </tpls>
      </n>
      <n v="0" in="0">
        <tpls c="5">
          <tpl fld="1" item="10"/>
          <tpl fld="7" item="0"/>
          <tpl fld="8" item="0"/>
          <tpl fld="9" item="0"/>
          <tpl hier="64" item="0"/>
        </tpls>
      </n>
      <n v="1679411720.2099996" in="0">
        <tpls c="4">
          <tpl fld="7" item="0"/>
          <tpl fld="8" item="0"/>
          <tpl fld="3" item="12"/>
          <tpl hier="64" item="0"/>
        </tpls>
      </n>
      <n v="196384" in="1">
        <tpls c="5">
          <tpl fld="1" item="23"/>
          <tpl fld="7" item="0"/>
          <tpl fld="8" item="3"/>
          <tpl fld="2" item="1"/>
          <tpl hier="64" item="0"/>
        </tpls>
      </n>
      <m>
        <tpls c="5">
          <tpl fld="1" item="13"/>
          <tpl fld="7" item="0"/>
          <tpl fld="8" item="3"/>
          <tpl fld="2" item="1"/>
          <tpl hier="64" item="0"/>
        </tpls>
      </m>
      <m>
        <tpls c="4">
          <tpl fld="7" item="0"/>
          <tpl fld="8" item="1"/>
          <tpl fld="6" item="6"/>
          <tpl hier="64" item="0"/>
        </tpls>
      </m>
      <m>
        <tpls c="4">
          <tpl fld="7" item="0"/>
          <tpl fld="8" item="6"/>
          <tpl fld="6" item="11"/>
          <tpl hier="64" item="0"/>
        </tpls>
      </m>
      <m>
        <tpls c="4">
          <tpl fld="7" item="0"/>
          <tpl fld="8" item="2"/>
          <tpl fld="6" item="12"/>
          <tpl hier="64" item="0"/>
        </tpls>
      </m>
      <n v="143337100.63999999" in="0">
        <tpls c="5">
          <tpl fld="1" item="8"/>
          <tpl fld="7" item="0"/>
          <tpl fld="8" item="0"/>
          <tpl hier="60" item="4294967295"/>
          <tpl hier="64" item="0"/>
        </tpls>
      </n>
      <n v="9" in="1">
        <tpls c="4">
          <tpl fld="7" item="0"/>
          <tpl fld="8" item="4"/>
          <tpl fld="3" item="24"/>
          <tpl hier="64" item="0"/>
        </tpls>
      </n>
      <m>
        <tpls c="4">
          <tpl fld="7" item="0"/>
          <tpl fld="8" item="7"/>
          <tpl fld="6" item="13"/>
          <tpl hier="64" item="0"/>
        </tpls>
      </m>
      <n v="1821473" in="1">
        <tpls c="4">
          <tpl fld="7" item="0"/>
          <tpl fld="8" item="3"/>
          <tpl fld="3" item="6"/>
          <tpl hier="64" item="0"/>
        </tpls>
      </n>
      <n v="199127" in="1">
        <tpls c="4">
          <tpl fld="7" item="0"/>
          <tpl fld="8" item="3"/>
          <tpl fld="3" item="14"/>
          <tpl hier="64" item="0"/>
        </tpls>
      </n>
      <m>
        <tpls c="5">
          <tpl fld="1" item="14"/>
          <tpl fld="7" item="0"/>
          <tpl fld="8" item="3"/>
          <tpl fld="2" item="1"/>
          <tpl hier="64" item="0"/>
        </tpls>
      </m>
      <m>
        <tpls c="5">
          <tpl fld="1" item="6"/>
          <tpl fld="7" item="0"/>
          <tpl fld="8" item="0"/>
          <tpl hier="60" item="4294967295"/>
          <tpl hier="64" item="0"/>
        </tpls>
      </m>
      <n v="31245" in="1">
        <tpls c="5">
          <tpl fld="1" item="2"/>
          <tpl fld="7" item="0"/>
          <tpl fld="8" item="3"/>
          <tpl fld="2" item="0"/>
          <tpl hier="64" item="0"/>
        </tpls>
      </n>
      <n v="43486" in="1">
        <tpls c="4">
          <tpl fld="7" item="0"/>
          <tpl fld="8" item="3"/>
          <tpl fld="3" item="10"/>
          <tpl hier="64" item="0"/>
        </tpls>
      </n>
      <n v="44203457.729999967" in="0">
        <tpls c="5">
          <tpl fld="1" item="14"/>
          <tpl fld="7" item="0"/>
          <tpl fld="8" item="0"/>
          <tpl fld="9" item="0"/>
          <tpl hier="64" item="0"/>
        </tpls>
      </n>
      <m>
        <tpls c="5">
          <tpl fld="1" item="5"/>
          <tpl fld="7" item="0"/>
          <tpl fld="8" item="3"/>
          <tpl fld="2" item="1"/>
          <tpl hier="64" item="0"/>
        </tpls>
      </m>
      <n v="154459" in="1">
        <tpls c="5">
          <tpl fld="1" item="13"/>
          <tpl fld="7" item="0"/>
          <tpl fld="8" item="3"/>
          <tpl hier="54" item="4294967295"/>
          <tpl hier="64" item="0"/>
        </tpls>
      </n>
      <m>
        <tpls c="4">
          <tpl fld="7" item="0"/>
          <tpl fld="8" item="2"/>
          <tpl fld="6" item="6"/>
          <tpl hier="64" item="0"/>
        </tpls>
      </m>
      <n v="8245" in="1">
        <tpls c="5">
          <tpl fld="1" item="24"/>
          <tpl fld="7" item="0"/>
          <tpl fld="8" item="3"/>
          <tpl hier="54" item="4294967295"/>
          <tpl hier="64" item="0"/>
        </tpls>
      </n>
      <n v="163502" in="1">
        <tpls c="5">
          <tpl fld="1" item="25"/>
          <tpl fld="7" item="0"/>
          <tpl fld="8" item="3"/>
          <tpl fld="2" item="1"/>
          <tpl hier="64" item="0"/>
        </tpls>
      </n>
      <n v="44203457.729999967" in="0">
        <tpls c="5">
          <tpl fld="1" item="14"/>
          <tpl fld="7" item="0"/>
          <tpl fld="8" item="0"/>
          <tpl hier="60" item="4294967295"/>
          <tpl hier="64" item="0"/>
        </tpls>
      </n>
      <m>
        <tpls c="4">
          <tpl fld="7" item="0"/>
          <tpl fld="8" item="6"/>
          <tpl fld="6" item="8"/>
          <tpl hier="64" item="0"/>
        </tpls>
      </m>
      <m>
        <tpls c="4">
          <tpl fld="7" item="0"/>
          <tpl fld="8" item="2"/>
          <tpl fld="6" item="8"/>
          <tpl hier="64" item="0"/>
        </tpls>
      </m>
      <n v="0" in="1">
        <tpls c="5">
          <tpl fld="1" item="10"/>
          <tpl fld="7" item="0"/>
          <tpl fld="8" item="3"/>
          <tpl fld="2" item="0"/>
          <tpl hier="64" item="0"/>
        </tpls>
      </n>
      <n v="77607" in="1">
        <tpls c="5">
          <tpl fld="1" item="10"/>
          <tpl fld="7" item="0"/>
          <tpl fld="8" item="3"/>
          <tpl fld="2" item="1"/>
          <tpl hier="64" item="0"/>
        </tpls>
      </n>
      <n v="77607" in="1">
        <tpls c="5">
          <tpl fld="1" item="10"/>
          <tpl fld="7" item="0"/>
          <tpl fld="8" item="3"/>
          <tpl hier="54" item="4294967295"/>
          <tpl hier="64" item="0"/>
        </tpls>
      </n>
      <n v="18770" in="1">
        <tpls c="5">
          <tpl fld="1" item="17"/>
          <tpl fld="7" item="0"/>
          <tpl fld="8" item="3"/>
          <tpl fld="2" item="1"/>
          <tpl hier="64" item="0"/>
        </tpls>
      </n>
      <m>
        <tpls c="4">
          <tpl fld="7" item="0"/>
          <tpl fld="8" item="7"/>
          <tpl fld="6" item="12"/>
          <tpl hier="64" item="0"/>
        </tpls>
      </m>
      <m>
        <tpls c="4">
          <tpl fld="7" item="0"/>
          <tpl fld="8" item="6"/>
          <tpl fld="6" item="12"/>
          <tpl hier="64" item="0"/>
        </tpls>
      </m>
      <m>
        <tpls c="4">
          <tpl fld="7" item="0"/>
          <tpl fld="8" item="6"/>
          <tpl fld="6" item="13"/>
          <tpl hier="64" item="0"/>
        </tpls>
      </m>
      <m>
        <tpls c="4">
          <tpl fld="7" item="0"/>
          <tpl fld="8" item="1"/>
          <tpl fld="6" item="13"/>
          <tpl hier="64" item="0"/>
        </tpls>
      </m>
      <m>
        <tpls c="5">
          <tpl fld="1" item="7"/>
          <tpl fld="7" item="0"/>
          <tpl fld="8" item="3"/>
          <tpl fld="2" item="1"/>
          <tpl hier="64" item="0"/>
        </tpls>
      </m>
      <n v="33906" in="1">
        <tpls c="5">
          <tpl fld="1" item="7"/>
          <tpl fld="7" item="0"/>
          <tpl fld="8" item="3"/>
          <tpl fld="2" item="0"/>
          <tpl hier="64" item="0"/>
        </tpls>
      </n>
      <n v="33906" in="1">
        <tpls c="5">
          <tpl fld="1" item="7"/>
          <tpl fld="7" item="0"/>
          <tpl fld="8" item="3"/>
          <tpl hier="54" item="4294967295"/>
          <tpl hier="64" item="0"/>
        </tpls>
      </n>
      <n v="15648429.580000002" in="0">
        <tpls c="5">
          <tpl fld="1" item="17"/>
          <tpl fld="7" item="0"/>
          <tpl fld="8" item="0"/>
          <tpl hier="60" item="4294967295"/>
          <tpl hier="64" item="0"/>
        </tpls>
      </n>
      <n v="15648429.580000002" in="0">
        <tpls c="5">
          <tpl fld="1" item="17"/>
          <tpl fld="7" item="0"/>
          <tpl fld="8" item="0"/>
          <tpl fld="9" item="1"/>
          <tpl hier="64" item="0"/>
        </tpls>
      </n>
      <m>
        <tpls c="4">
          <tpl fld="7" item="0"/>
          <tpl fld="8" item="7"/>
          <tpl fld="6" item="14"/>
          <tpl hier="64" item="0"/>
        </tpls>
      </m>
      <m>
        <tpls c="4">
          <tpl fld="7" item="0"/>
          <tpl fld="8" item="6"/>
          <tpl fld="6" item="14"/>
          <tpl hier="64" item="0"/>
        </tpls>
      </m>
      <m>
        <tpls c="4">
          <tpl fld="7" item="0"/>
          <tpl fld="8" item="1"/>
          <tpl fld="6" item="14"/>
          <tpl hier="64" item="0"/>
        </tpls>
      </m>
      <m>
        <tpls c="5">
          <tpl fld="1" item="18"/>
          <tpl fld="7" item="0"/>
          <tpl fld="8" item="0"/>
          <tpl fld="9" item="1"/>
          <tpl hier="64" item="0"/>
        </tpls>
      </m>
      <n v="11433708.759999998" in="0">
        <tpls c="5">
          <tpl fld="1" item="18"/>
          <tpl fld="7" item="0"/>
          <tpl fld="8" item="0"/>
          <tpl fld="9" item="0"/>
          <tpl hier="64" item="0"/>
        </tpls>
      </n>
      <m>
        <tpls c="4">
          <tpl fld="7" item="0"/>
          <tpl fld="8" item="6"/>
          <tpl fld="6" item="15"/>
          <tpl hier="64" item="0"/>
        </tpls>
      </m>
      <m>
        <tpls c="4">
          <tpl fld="7" item="0"/>
          <tpl fld="8" item="2"/>
          <tpl fld="6" item="15"/>
          <tpl hier="64" item="0"/>
        </tpls>
      </m>
      <m>
        <tpls c="4">
          <tpl fld="7" item="0"/>
          <tpl fld="8" item="1"/>
          <tpl fld="6" item="15"/>
          <tpl hier="64" item="0"/>
        </tpls>
      </m>
      <m>
        <tpls c="4">
          <tpl fld="7" item="0"/>
          <tpl fld="8" item="1"/>
          <tpl fld="6" item="16"/>
          <tpl hier="64" item="0"/>
        </tpls>
      </m>
      <m>
        <tpls c="4">
          <tpl fld="7" item="0"/>
          <tpl fld="8" item="7"/>
          <tpl fld="6" item="16"/>
          <tpl hier="64" item="0"/>
        </tpls>
      </m>
      <m>
        <tpls c="4">
          <tpl fld="7" item="0"/>
          <tpl fld="8" item="2"/>
          <tpl fld="6" item="16"/>
          <tpl hier="64" item="0"/>
        </tpls>
      </m>
      <n v="13944" in="1">
        <tpls c="5">
          <tpl fld="1" item="0"/>
          <tpl fld="7" item="0"/>
          <tpl fld="8" item="3"/>
          <tpl fld="2" item="1"/>
          <tpl hier="64" item="0"/>
        </tpls>
      </n>
      <m>
        <tpls c="5">
          <tpl fld="1" item="0"/>
          <tpl fld="7" item="0"/>
          <tpl fld="8" item="3"/>
          <tpl fld="2" item="0"/>
          <tpl hier="64" item="0"/>
        </tpls>
      </m>
      <m>
        <tpls c="4">
          <tpl fld="7" item="0"/>
          <tpl fld="8" item="7"/>
          <tpl fld="6" item="17"/>
          <tpl hier="64" item="0"/>
        </tpls>
      </m>
      <m>
        <tpls c="4">
          <tpl fld="7" item="0"/>
          <tpl fld="8" item="6"/>
          <tpl fld="6" item="17"/>
          <tpl hier="64" item="0"/>
        </tpls>
      </m>
      <m>
        <tpls c="4">
          <tpl fld="7" item="0"/>
          <tpl fld="8" item="1"/>
          <tpl fld="6" item="17"/>
          <tpl hier="64" item="0"/>
        </tpls>
      </m>
      <m>
        <tpls c="4">
          <tpl fld="7" item="0"/>
          <tpl fld="8" item="2"/>
          <tpl fld="6" item="17"/>
          <tpl hier="64" item="0"/>
        </tpls>
      </m>
      <n v="57" in="1">
        <tpls c="5">
          <tpl fld="1" item="15"/>
          <tpl fld="7" item="0"/>
          <tpl fld="8" item="3"/>
          <tpl hier="54" item="4294967295"/>
          <tpl hier="64" item="0"/>
        </tpls>
      </n>
      <n v="57" in="1">
        <tpls c="5">
          <tpl fld="1" item="15"/>
          <tpl fld="7" item="0"/>
          <tpl fld="8" item="3"/>
          <tpl fld="2" item="0"/>
          <tpl hier="64" item="0"/>
        </tpls>
      </n>
      <n v="20003" in="1">
        <tpls c="5">
          <tpl fld="1" item="22"/>
          <tpl fld="7" item="0"/>
          <tpl fld="8" item="3"/>
          <tpl fld="2" item="0"/>
          <tpl hier="64" item="0"/>
        </tpls>
      </n>
      <n v="20003" in="1">
        <tpls c="5">
          <tpl fld="1" item="22"/>
          <tpl fld="7" item="0"/>
          <tpl fld="8" item="3"/>
          <tpl hier="54" item="4294967295"/>
          <tpl hier="64" item="0"/>
        </tpls>
      </n>
      <n v="350227" in="1">
        <tpls c="5">
          <tpl fld="1" item="23"/>
          <tpl fld="7" item="0"/>
          <tpl fld="8" item="3"/>
          <tpl fld="2" item="0"/>
          <tpl hier="64" item="0"/>
        </tpls>
      </n>
      <n v="546611" in="1">
        <tpls c="5">
          <tpl fld="1" item="23"/>
          <tpl fld="7" item="0"/>
          <tpl fld="8" item="3"/>
          <tpl hier="54" item="4294967295"/>
          <tpl hier="64" item="0"/>
        </tpls>
      </n>
      <n v="79260" in="1">
        <tpls c="5">
          <tpl fld="1" item="21"/>
          <tpl fld="7" item="0"/>
          <tpl fld="8" item="3"/>
          <tpl fld="2" item="1"/>
          <tpl hier="64" item="0"/>
        </tpls>
      </n>
      <n v="372211" in="1">
        <tpls c="5">
          <tpl fld="1" item="21"/>
          <tpl fld="7" item="0"/>
          <tpl fld="8" item="3"/>
          <tpl hier="54" item="4294967295"/>
          <tpl hier="64" item="0"/>
        </tpls>
      </n>
      <n v="1863040849.430001" in="0">
        <tpls c="5">
          <tpl fld="1" item="25"/>
          <tpl fld="7" item="0"/>
          <tpl fld="8" item="0"/>
          <tpl hier="60" item="4294967295"/>
          <tpl hier="64" item="0"/>
        </tpls>
      </n>
      <m>
        <tpls c="4">
          <tpl fld="7" item="0"/>
          <tpl fld="8" item="6"/>
          <tpl fld="6" item="18"/>
          <tpl hier="64" item="0"/>
        </tpls>
      </m>
      <m>
        <tpls c="4">
          <tpl fld="7" item="0"/>
          <tpl fld="8" item="2"/>
          <tpl fld="6" item="18"/>
          <tpl hier="64" item="0"/>
        </tpls>
      </m>
      <n v="0" in="1">
        <tpls c="5">
          <tpl fld="1" item="20"/>
          <tpl fld="7" item="0"/>
          <tpl fld="8" item="3"/>
          <tpl fld="2" item="1"/>
          <tpl hier="64" item="0"/>
        </tpls>
      </n>
      <n v="923661" in="1">
        <tpls c="5">
          <tpl fld="1" item="20"/>
          <tpl fld="7" item="0"/>
          <tpl fld="8" item="3"/>
          <tpl fld="2" item="0"/>
          <tpl hier="64" item="0"/>
        </tpls>
      </n>
      <n v="357559" in="1">
        <tpls c="5">
          <tpl fld="1" item="19"/>
          <tpl fld="7" item="0"/>
          <tpl fld="8" item="3"/>
          <tpl fld="2" item="1"/>
          <tpl hier="64" item="0"/>
        </tpls>
      </n>
      <n v="916345" in="1">
        <tpls c="5">
          <tpl fld="1" item="19"/>
          <tpl fld="7" item="0"/>
          <tpl fld="8" item="3"/>
          <tpl hier="54" item="4294967295"/>
          <tpl hier="64" item="0"/>
        </tpls>
      </n>
      <n v="558786" in="1">
        <tpls c="5">
          <tpl fld="1" item="19"/>
          <tpl fld="7" item="0"/>
          <tpl fld="8" item="3"/>
          <tpl fld="2" item="0"/>
          <tpl hier="64" item="0"/>
        </tpls>
      </n>
      <n v="205980588.40999997" in="0">
        <tpls c="5">
          <tpl fld="1" item="16"/>
          <tpl fld="7" item="0"/>
          <tpl fld="8" item="0"/>
          <tpl fld="9" item="0"/>
          <tpl hier="64" item="0"/>
        </tpls>
      </n>
      <n v="251815974.38999984" in="0">
        <tpls c="5">
          <tpl fld="1" item="16"/>
          <tpl fld="7" item="0"/>
          <tpl fld="8" item="0"/>
          <tpl hier="60" item="4294967295"/>
          <tpl hier="64" item="0"/>
        </tpls>
      </n>
      <n v="45835385.979999997" in="0">
        <tpls c="5">
          <tpl fld="1" item="16"/>
          <tpl fld="7" item="0"/>
          <tpl fld="8" item="0"/>
          <tpl fld="9" item="1"/>
          <tpl hier="64" item="0"/>
        </tpls>
      </n>
      <n v="16425" in="1">
        <tpls c="5">
          <tpl fld="1" item="9"/>
          <tpl fld="7" item="0"/>
          <tpl fld="8" item="3"/>
          <tpl hier="54" item="4294967295"/>
          <tpl hier="64" item="0"/>
        </tpls>
      </n>
      <n v="16425" in="1">
        <tpls c="5">
          <tpl fld="1" item="9"/>
          <tpl fld="7" item="0"/>
          <tpl fld="8" item="3"/>
          <tpl fld="2" item="1"/>
          <tpl hier="64" item="0"/>
        </tpls>
      </n>
      <m>
        <tpls c="4">
          <tpl fld="7" item="0"/>
          <tpl fld="8" item="1"/>
          <tpl fld="6" item="19"/>
          <tpl hier="64" item="0"/>
        </tpls>
      </m>
      <m>
        <tpls c="4">
          <tpl fld="7" item="0"/>
          <tpl fld="8" item="2"/>
          <tpl fld="6" item="19"/>
          <tpl hier="64" item="0"/>
        </tpls>
      </m>
      <m>
        <tpls c="4">
          <tpl fld="7" item="0"/>
          <tpl fld="8" item="7"/>
          <tpl fld="6" item="19"/>
          <tpl hier="64" item="0"/>
        </tpls>
      </m>
      <n v="65326" in="1">
        <tpls c="5">
          <tpl fld="1" item="12"/>
          <tpl fld="7" item="0"/>
          <tpl fld="8" item="3"/>
          <tpl hier="54" item="4294967295"/>
          <tpl hier="64" item="0"/>
        </tpls>
      </n>
      <n v="65326" in="1">
        <tpls c="5">
          <tpl fld="1" item="12"/>
          <tpl fld="7" item="0"/>
          <tpl fld="8" item="3"/>
          <tpl fld="2" item="1"/>
          <tpl hier="64" item="0"/>
        </tpls>
      </n>
      <m>
        <tpls c="5">
          <tpl fld="1" item="12"/>
          <tpl fld="7" item="0"/>
          <tpl fld="8" item="3"/>
          <tpl fld="2" item="0"/>
          <tpl hier="64" item="0"/>
        </tpls>
      </m>
      <n v="41492002.659999996" in="0">
        <tpls c="5">
          <tpl fld="1" item="22"/>
          <tpl fld="7" item="0"/>
          <tpl fld="8" item="0"/>
          <tpl fld="9" item="0"/>
          <tpl hier="64" item="0"/>
        </tpls>
      </n>
      <n v="0" in="0">
        <tpls c="4">
          <tpl fld="7" item="0"/>
          <tpl fld="8" item="0"/>
          <tpl fld="3" item="19"/>
          <tpl hier="64" item="0"/>
        </tpls>
      </n>
      <n v="11433708.759999998" in="0">
        <tpls c="5">
          <tpl fld="1" item="18"/>
          <tpl fld="7" item="0"/>
          <tpl fld="8" item="0"/>
          <tpl hier="60" item="4294967295"/>
          <tpl hier="64" item="0"/>
        </tpls>
      </n>
      <n v="209" in="1">
        <tpls c="4">
          <tpl fld="7" item="0"/>
          <tpl fld="8" item="4"/>
          <tpl fld="3" item="9"/>
          <tpl hier="64" item="0"/>
        </tpls>
      </n>
      <n v="114067" in="1">
        <tpls c="5">
          <tpl fld="1" item="11"/>
          <tpl fld="7" item="0"/>
          <tpl fld="8" item="3"/>
          <tpl fld="2" item="1"/>
          <tpl hier="64" item="0"/>
        </tpls>
      </n>
      <n v="11579455.93" in="0">
        <tpls c="4">
          <tpl fld="7" item="0"/>
          <tpl fld="8" item="5"/>
          <tpl fld="3" item="14"/>
          <tpl hier="64" item="0"/>
        </tpls>
      </n>
      <n v="36634" in="1">
        <tpls c="4">
          <tpl fld="7" item="0"/>
          <tpl fld="8" item="4"/>
          <tpl fld="3" item="12"/>
          <tpl hier="64" item="0"/>
        </tpls>
      </n>
      <n v="322277" in="1">
        <tpls c="4">
          <tpl fld="7" item="0"/>
          <tpl fld="8" item="3"/>
          <tpl fld="3" item="7"/>
          <tpl hier="64" item="0"/>
        </tpls>
      </n>
      <m>
        <tpls c="4">
          <tpl fld="7" item="0"/>
          <tpl fld="8" item="2"/>
          <tpl fld="6" item="2"/>
          <tpl hier="64" item="0"/>
        </tpls>
      </m>
      <n v="170983198.85000002" in="0">
        <tpls c="5">
          <tpl fld="1" item="2"/>
          <tpl fld="7" item="0"/>
          <tpl fld="8" item="0"/>
          <tpl fld="9" item="1"/>
          <tpl hier="64" item="0"/>
        </tpls>
      </n>
      <n v="25703" in="1">
        <tpls c="5">
          <tpl fld="1" item="4"/>
          <tpl fld="7" item="0"/>
          <tpl fld="8" item="3"/>
          <tpl hier="54" item="4294967295"/>
          <tpl hier="64" item="0"/>
        </tpls>
      </n>
      <n v="784181" in="1">
        <tpls c="4">
          <tpl fld="7" item="0"/>
          <tpl fld="8" item="3"/>
          <tpl fld="3" item="12"/>
          <tpl hier="64" item="0"/>
        </tpls>
      </n>
      <m>
        <tpls c="5">
          <tpl fld="1" item="9"/>
          <tpl fld="7" item="0"/>
          <tpl fld="8" item="0"/>
          <tpl fld="9" item="0"/>
          <tpl hier="64" item="0"/>
        </tpls>
      </m>
      <n v="41492002.659999996" in="0">
        <tpls c="5">
          <tpl fld="1" item="22"/>
          <tpl fld="7" item="0"/>
          <tpl fld="8" item="0"/>
          <tpl hier="60" item="4294967295"/>
          <tpl hier="64" item="0"/>
        </tpls>
      </n>
      <n v="14060378.530000003" in="0">
        <tpls c="5">
          <tpl fld="1" item="9"/>
          <tpl fld="7" item="0"/>
          <tpl fld="8" item="0"/>
          <tpl fld="9" item="1"/>
          <tpl hier="64" item="0"/>
        </tpls>
      </n>
      <n v="4412544.1700000009" in="0">
        <tpls c="4">
          <tpl fld="7" item="0"/>
          <tpl fld="8" item="0"/>
          <tpl fld="3" item="21"/>
          <tpl hier="64" item="0"/>
        </tpls>
      </n>
      <n v="54143" in="1">
        <tpls c="4">
          <tpl fld="7" item="0"/>
          <tpl fld="8" item="4"/>
          <tpl fld="3" item="6"/>
          <tpl hier="64" item="0"/>
        </tpls>
      </n>
      <n v="0" in="1">
        <tpls c="4">
          <tpl fld="7" item="0"/>
          <tpl fld="8" item="4"/>
          <tpl fld="3" item="18"/>
          <tpl hier="64" item="0"/>
        </tpls>
      </n>
      <n v="0" in="1">
        <tpls c="4">
          <tpl fld="7" item="0"/>
          <tpl fld="8" item="4"/>
          <tpl fld="3" item="1"/>
          <tpl hier="64" item="0"/>
        </tpls>
      </n>
      <n v="412713247.67999995" in="0">
        <tpls c="5">
          <tpl fld="1" item="1"/>
          <tpl fld="7" item="0"/>
          <tpl fld="8" item="0"/>
          <tpl fld="9" item="0"/>
          <tpl hier="64" item="0"/>
        </tpls>
      </n>
      <n v="11172310.389999999" in="0">
        <tpls c="5">
          <tpl fld="1" item="24"/>
          <tpl fld="7" item="0"/>
          <tpl fld="8" item="0"/>
          <tpl fld="9" item="1"/>
          <tpl hier="64" item="0"/>
        </tpls>
      </n>
      <n v="6560716969.5300007" in="0">
        <tpls c="4">
          <tpl fld="7" item="0"/>
          <tpl fld="8" item="0"/>
          <tpl hier="54" item="4294967295"/>
          <tpl hier="64" item="0"/>
        </tpls>
      </n>
      <n v="113037560.67999999" in="0">
        <tpls c="4">
          <tpl fld="7" item="0"/>
          <tpl fld="8" item="5"/>
          <tpl fld="3" item="23"/>
          <tpl hier="64" item="0"/>
        </tpls>
      </n>
      <n v="970720693.40999973" in="0">
        <tpls c="4">
          <tpl fld="7" item="0"/>
          <tpl fld="8" item="5"/>
          <tpl fld="3" item="12"/>
          <tpl hier="64" item="0"/>
        </tpls>
      </n>
      <n v="0" in="0">
        <tpls c="5">
          <tpl fld="1" item="20"/>
          <tpl fld="7" item="0"/>
          <tpl fld="8" item="0"/>
          <tpl fld="9" item="1"/>
          <tpl hier="64" item="0"/>
        </tpls>
      </n>
      <n v="14060378.530000003" in="0">
        <tpls c="5">
          <tpl fld="1" item="9"/>
          <tpl fld="7" item="0"/>
          <tpl fld="8" item="0"/>
          <tpl hier="60" item="4294967295"/>
          <tpl hier="64" item="0"/>
        </tpls>
      </n>
      <n v="135999000" in="0">
        <tpls c="5">
          <tpl fld="1" item="5"/>
          <tpl fld="7" item="0"/>
          <tpl fld="8" item="0"/>
          <tpl fld="9" item="0"/>
          <tpl hier="64" item="0"/>
        </tpls>
      </n>
      <n v="77521" in="1">
        <tpls c="5">
          <tpl fld="1" item="8"/>
          <tpl fld="7" item="0"/>
          <tpl fld="8" item="3"/>
          <tpl hier="54" item="4294967295"/>
          <tpl hier="64" item="0"/>
        </tpls>
      </n>
      <n v="4830099.57" in="0">
        <tpls c="4">
          <tpl fld="7" item="0"/>
          <tpl fld="8" item="0"/>
          <tpl fld="3" item="9"/>
          <tpl hier="64" item="0"/>
        </tpls>
      </n>
      <n v="8127" in="1">
        <tpls c="4">
          <tpl fld="7" item="0"/>
          <tpl fld="8" item="4"/>
          <tpl fld="3" item="4"/>
          <tpl hier="64" item="0"/>
        </tpls>
      </n>
      <n v="415689663.22000009" in="0">
        <tpls c="5">
          <tpl fld="1" item="19"/>
          <tpl fld="7" item="0"/>
          <tpl fld="8" item="0"/>
          <tpl fld="9" item="1"/>
          <tpl hier="64" item="0"/>
        </tpls>
      </n>
      <n v="286967423.03999984" in="0">
        <tpls c="5">
          <tpl fld="1" item="11"/>
          <tpl fld="7" item="0"/>
          <tpl fld="8" item="0"/>
          <tpl hier="60" item="4294967295"/>
          <tpl hier="64" item="0"/>
        </tpls>
      </n>
      <n v="108338755.99000001" in="0">
        <tpls c="5">
          <tpl fld="1" item="12"/>
          <tpl fld="7" item="0"/>
          <tpl fld="8" item="0"/>
          <tpl fld="9" item="1"/>
          <tpl hier="64" item="0"/>
        </tpls>
      </n>
      <n v="31427327.040000014" in="0">
        <tpls c="5">
          <tpl fld="1" item="7"/>
          <tpl fld="7" item="0"/>
          <tpl fld="8" item="0"/>
          <tpl fld="9" item="0"/>
          <tpl hier="64" item="0"/>
        </tpls>
      </n>
      <n v="4673573885.6099997" in="0">
        <tpls c="4">
          <tpl fld="7" item="0"/>
          <tpl fld="8" item="0"/>
          <tpl fld="2" item="0"/>
          <tpl hier="64" item="0"/>
        </tpls>
      </n>
      <n v="0" in="0">
        <tpls c="5">
          <tpl fld="1" item="24"/>
          <tpl fld="7" item="0"/>
          <tpl fld="8" item="0"/>
          <tpl fld="9" item="0"/>
          <tpl hier="64" item="0"/>
        </tpls>
      </n>
      <n v="143337100.63999999" in="0">
        <tpls c="5">
          <tpl fld="1" item="8"/>
          <tpl fld="7" item="0"/>
          <tpl fld="8" item="0"/>
          <tpl fld="9" item="1"/>
          <tpl hier="64" item="0"/>
        </tpls>
      </n>
      <n v="1887143083.9199996" in="0">
        <tpls c="4">
          <tpl fld="7" item="0"/>
          <tpl fld="8" item="0"/>
          <tpl fld="2" item="1"/>
          <tpl hier="64" item="0"/>
        </tpls>
      </n>
      <n v="37918988.999999993" in="0">
        <tpls c="5">
          <tpl fld="1" item="4"/>
          <tpl fld="7" item="0"/>
          <tpl fld="8" item="0"/>
          <tpl fld="9" item="0"/>
          <tpl hier="64" item="0"/>
        </tpls>
      </n>
      <n v="2016" in="1">
        <tpls c="4">
          <tpl fld="7" item="0"/>
          <tpl fld="8" item="3"/>
          <tpl fld="3" item="2"/>
          <tpl hier="64" item="0"/>
        </tpls>
      </n>
      <n v="12624174.700000001" in="0">
        <tpls c="4">
          <tpl fld="7" item="0"/>
          <tpl fld="8" item="5"/>
          <tpl fld="3" item="24"/>
          <tpl hier="64" item="0"/>
        </tpls>
      </n>
      <n v="172843231.75000003" in="0">
        <tpls c="5">
          <tpl fld="1" item="11"/>
          <tpl fld="7" item="0"/>
          <tpl fld="8" item="0"/>
          <tpl fld="9" item="1"/>
          <tpl hier="64" item="0"/>
        </tpls>
      </n>
      <n v="0" in="0">
        <tpls c="5">
          <tpl fld="1" item="1"/>
          <tpl fld="7" item="0"/>
          <tpl fld="8" item="0"/>
          <tpl fld="9" item="1"/>
          <tpl hier="64" item="0"/>
        </tpls>
      </n>
      <n v="114124191.29000007" in="0">
        <tpls c="5">
          <tpl fld="1" item="11"/>
          <tpl fld="7" item="0"/>
          <tpl fld="8" item="0"/>
          <tpl fld="9" item="0"/>
          <tpl hier="64" item="0"/>
        </tpls>
      </n>
      <n v="424342183.95999968" in="0">
        <tpls c="5">
          <tpl fld="1" item="3"/>
          <tpl fld="7" item="0"/>
          <tpl fld="8" item="0"/>
          <tpl hier="60" item="4294967295"/>
          <tpl hier="64" item="0"/>
        </tpls>
      </n>
      <n v="1101010.1100000001" in="0">
        <tpls c="4">
          <tpl fld="7" item="0"/>
          <tpl fld="8" item="5"/>
          <tpl fld="3" item="20"/>
          <tpl hier="64" item="0"/>
        </tpls>
      </n>
      <n v="0" in="1">
        <tpls c="4">
          <tpl fld="7" item="0"/>
          <tpl fld="8" item="3"/>
          <tpl fld="3" item="19"/>
          <tpl hier="64" item="0"/>
        </tpls>
      </n>
      <n v="18288729.559999999" in="0">
        <tpls c="4">
          <tpl fld="7" item="0"/>
          <tpl fld="8" item="5"/>
          <tpl fld="3" item="8"/>
          <tpl hier="64" item="0"/>
        </tpls>
      </n>
      <n v="117" in="1">
        <tpls c="4">
          <tpl fld="7" item="0"/>
          <tpl fld="8" item="3"/>
          <tpl fld="3" item="24"/>
          <tpl hier="64" item="0"/>
        </tpls>
      </n>
      <n v="2290" in="1">
        <tpls c="4">
          <tpl fld="7" item="0"/>
          <tpl fld="8" item="4"/>
          <tpl fld="3" item="8"/>
          <tpl hier="64" item="0"/>
        </tpls>
      </n>
      <n v="648051298.81999981" in="0">
        <tpls c="5">
          <tpl fld="1" item="20"/>
          <tpl fld="7" item="0"/>
          <tpl fld="8" item="0"/>
          <tpl fld="9" item="0"/>
          <tpl hier="64" item="0"/>
        </tpls>
      </n>
      <n v="13944" in="1">
        <tpls c="5">
          <tpl fld="1" item="0"/>
          <tpl fld="7" item="0"/>
          <tpl fld="8" item="3"/>
          <tpl hier="54" item="4294967295"/>
          <tpl hier="64" item="0"/>
        </tpls>
      </n>
      <n v="4930925.83" in="0">
        <tpls c="4">
          <tpl fld="7" item="0"/>
          <tpl fld="8" item="5"/>
          <tpl fld="3" item="9"/>
          <tpl hier="64" item="0"/>
        </tpls>
      </n>
      <m>
        <tpls c="5">
          <tpl fld="1" item="14"/>
          <tpl fld="7" item="0"/>
          <tpl fld="8" item="0"/>
          <tpl fld="9" item="1"/>
          <tpl hier="64" item="0"/>
        </tpls>
      </m>
      <n v="81336381.359999999" in="0">
        <tpls c="4">
          <tpl fld="7" item="0"/>
          <tpl fld="8" item="5"/>
          <tpl fld="3" item="10"/>
          <tpl hier="64" item="0"/>
        </tpls>
      </n>
      <m>
        <tpls c="4">
          <tpl fld="7" item="0"/>
          <tpl fld="8" item="2"/>
          <tpl fld="6" item="10"/>
          <tpl hier="64" item="0"/>
        </tpls>
      </m>
      <n v="202810934.13" in="0">
        <tpls c="5">
          <tpl fld="1" item="3"/>
          <tpl fld="7" item="0"/>
          <tpl fld="8" item="0"/>
          <tpl fld="9" item="1"/>
          <tpl hier="64" item="0"/>
        </tpls>
      </n>
      <n v="13926" in="1">
        <tpls c="4">
          <tpl fld="7" item="0"/>
          <tpl fld="8" item="3"/>
          <tpl fld="3" item="16"/>
          <tpl hier="64" item="0"/>
        </tpls>
      </n>
      <n v="257975229.16000006" in="0">
        <tpls c="5">
          <tpl fld="1" item="23"/>
          <tpl fld="7" item="0"/>
          <tpl fld="8" item="0"/>
          <tpl fld="9" item="0"/>
          <tpl hier="64" item="0"/>
        </tpls>
      </n>
      <m>
        <tpls c="5">
          <tpl fld="1" item="5"/>
          <tpl fld="7" item="0"/>
          <tpl fld="8" item="0"/>
          <tpl fld="9" item="1"/>
          <tpl hier="64" item="0"/>
        </tpls>
      </m>
      <m>
        <tpls c="4">
          <tpl fld="7" item="0"/>
          <tpl fld="8" item="6"/>
          <tpl fld="6" item="19"/>
          <tpl hier="64" item="0"/>
        </tpls>
      </m>
      <m>
        <tpls c="4">
          <tpl fld="7" item="0"/>
          <tpl fld="8" item="7"/>
          <tpl fld="6" item="18"/>
          <tpl hier="64" item="0"/>
        </tpls>
      </m>
      <m>
        <tpls c="4">
          <tpl fld="7" item="0"/>
          <tpl fld="8" item="6"/>
          <tpl fld="6" item="16"/>
          <tpl hier="64" item="0"/>
        </tpls>
      </m>
      <n v="8508123.2100000009" in="0">
        <tpls c="4">
          <tpl fld="7" item="0"/>
          <tpl fld="8" item="5"/>
          <tpl fld="3" item="16"/>
          <tpl hier="64" item="0"/>
        </tpls>
      </n>
      <m>
        <tpls c="5">
          <tpl fld="1" item="17"/>
          <tpl fld="7" item="0"/>
          <tpl fld="8" item="3"/>
          <tpl fld="2" item="0"/>
          <tpl hier="64" item="0"/>
        </tpls>
      </m>
      <m>
        <tpls c="4">
          <tpl fld="7" item="0"/>
          <tpl fld="8" item="6"/>
          <tpl fld="6" item="9"/>
          <tpl hier="64" item="0"/>
        </tpls>
      </m>
      <n v="108338755.99000001" in="0">
        <tpls c="5">
          <tpl fld="1" item="12"/>
          <tpl fld="7" item="0"/>
          <tpl fld="8" item="0"/>
          <tpl hier="60" item="4294967295"/>
          <tpl hier="64" item="0"/>
        </tpls>
      </n>
      <n v="38550016.239999995" in="0">
        <tpls c="4">
          <tpl fld="7" item="0"/>
          <tpl fld="8" item="0"/>
          <tpl fld="3" item="13"/>
          <tpl hier="64" item="0"/>
        </tpls>
      </n>
      <n v="2069772914.4299998" in="0">
        <tpls c="4">
          <tpl fld="7" item="0"/>
          <tpl fld="8" item="5"/>
          <tpl fld="2" item="0"/>
          <tpl hier="64" item="0"/>
        </tpls>
      </n>
      <n v="337100673.13999981" in="0">
        <tpls c="4">
          <tpl fld="7" item="0"/>
          <tpl fld="8" item="0"/>
          <tpl fld="3" item="5"/>
          <tpl hier="64" item="0"/>
        </tpls>
      </n>
      <n v="60426" in="1">
        <tpls c="4">
          <tpl fld="7" item="0"/>
          <tpl fld="8" item="4"/>
          <tpl fld="3" item="14"/>
          <tpl hier="64" item="0"/>
        </tpls>
      </n>
      <n v="90" in="1">
        <tpls c="4">
          <tpl fld="7" item="0"/>
          <tpl fld="8" item="4"/>
          <tpl fld="3" item="13"/>
          <tpl hier="64" item="0"/>
        </tpls>
      </n>
      <n v="0" in="0">
        <tpls c="4">
          <tpl fld="7" item="0"/>
          <tpl fld="8" item="0"/>
          <tpl fld="3" item="1"/>
          <tpl hier="64" item="0"/>
        </tpls>
      </n>
      <n v="961193611.23000062" in="0">
        <tpls c="5">
          <tpl fld="1" item="19"/>
          <tpl fld="7" item="0"/>
          <tpl fld="8" item="0"/>
          <tpl hier="60" item="4294967295"/>
          <tpl hier="64" item="0"/>
        </tpls>
      </n>
      <m>
        <tpls c="5">
          <tpl fld="1" item="7"/>
          <tpl fld="7" item="0"/>
          <tpl fld="8" item="0"/>
          <tpl fld="9" item="1"/>
          <tpl hier="64" item="0"/>
        </tpls>
      </m>
      <n v="262960136.81" in="0">
        <tpls c="5">
          <tpl fld="1" item="25"/>
          <tpl fld="7" item="0"/>
          <tpl fld="8" item="0"/>
          <tpl fld="9" item="1"/>
          <tpl hier="64" item="0"/>
        </tpls>
      </n>
      <n v="124904" in="1">
        <tpls c="4">
          <tpl fld="7" item="0"/>
          <tpl fld="8" item="3"/>
          <tpl fld="3" item="23"/>
          <tpl hier="64" item="0"/>
        </tpls>
      </n>
      <m>
        <tpls c="4">
          <tpl fld="7" item="0"/>
          <tpl fld="8" item="6"/>
          <tpl fld="6" item="7"/>
          <tpl hier="64" item="0"/>
        </tpls>
      </m>
      <n v="280883292.57000017" in="0">
        <tpls c="4">
          <tpl fld="7" item="0"/>
          <tpl fld="8" item="5"/>
          <tpl fld="3" item="3"/>
          <tpl hier="64" item="0"/>
        </tpls>
      </n>
      <n v="3568309.71" in="0">
        <tpls c="4">
          <tpl fld="7" item="0"/>
          <tpl fld="8" item="5"/>
          <tpl fld="3" item="13"/>
          <tpl hier="64" item="0"/>
        </tpls>
      </n>
      <n v="7773879.5500000007" in="0">
        <tpls c="5">
          <tpl fld="1" item="15"/>
          <tpl fld="7" item="0"/>
          <tpl fld="8" item="0"/>
          <tpl fld="9" item="0"/>
          <tpl hier="64" item="0"/>
        </tpls>
      </n>
      <n v="209430679.05000007" in="0">
        <tpls c="5">
          <tpl fld="1" item="23"/>
          <tpl fld="7" item="0"/>
          <tpl fld="8" item="0"/>
          <tpl fld="9" item="1"/>
          <tpl hier="64" item="0"/>
        </tpls>
      </n>
      <n v="946354" in="1">
        <tpls c="4">
          <tpl fld="7" item="0"/>
          <tpl fld="8" item="4"/>
          <tpl fld="2" item="0"/>
          <tpl hier="64" item="0"/>
        </tpls>
      </n>
      <n v="114" in="1">
        <tpls c="4">
          <tpl fld="7" item="0"/>
          <tpl fld="8" item="3"/>
          <tpl fld="3" item="20"/>
          <tpl hier="64" item="0"/>
        </tpls>
      </n>
      <n v="505394084.68999988" in="0">
        <tpls c="4">
          <tpl fld="7" item="0"/>
          <tpl fld="8" item="0"/>
          <tpl fld="3" item="3"/>
          <tpl hier="64" item="0"/>
        </tpls>
      </n>
      <m>
        <tpls c="5">
          <tpl fld="1" item="15"/>
          <tpl fld="7" item="0"/>
          <tpl fld="8" item="0"/>
          <tpl fld="9" item="1"/>
          <tpl hier="64" item="0"/>
        </tpls>
      </m>
      <n v="197828349.72999981" in="0">
        <tpls c="5">
          <tpl fld="1" item="21"/>
          <tpl fld="7" item="0"/>
          <tpl fld="8" item="0"/>
          <tpl fld="9" item="0"/>
          <tpl hier="64" item="0"/>
        </tpls>
      </n>
      <n v="467405908.21000016" in="0">
        <tpls c="5">
          <tpl fld="1" item="23"/>
          <tpl fld="7" item="0"/>
          <tpl fld="8" item="0"/>
          <tpl hier="60" item="4294967295"/>
          <tpl hier="64" item="0"/>
        </tpls>
      </n>
      <n v="992046" in="1">
        <tpls c="4">
          <tpl fld="7" item="0"/>
          <tpl fld="8" item="4"/>
          <tpl hier="54" item="4294967295"/>
          <tpl hier="64" item="0"/>
        </tpls>
      </n>
      <n v="474452" in="1">
        <tpls c="4">
          <tpl fld="7" item="0"/>
          <tpl fld="8" item="3"/>
          <tpl fld="3" item="3"/>
          <tpl hier="64" item="0"/>
        </tpls>
      </n>
      <n v="1800312" in="1">
        <tpls c="4">
          <tpl fld="7" item="0"/>
          <tpl fld="8" item="3"/>
          <tpl fld="3" item="5"/>
          <tpl hier="64" item="0"/>
        </tpls>
      </n>
      <m>
        <tpls c="5">
          <tpl fld="1" item="6"/>
          <tpl fld="7" item="0"/>
          <tpl fld="8" item="0"/>
          <tpl fld="9" item="1"/>
          <tpl hier="64" item="0"/>
        </tpls>
      </m>
      <n v="545503948.01000023" in="0">
        <tpls c="5">
          <tpl fld="1" item="19"/>
          <tpl fld="7" item="0"/>
          <tpl fld="8" item="0"/>
          <tpl fld="9" item="0"/>
          <tpl hier="64" item="0"/>
        </tpls>
      </n>
      <n v="412713247.67999995" in="0">
        <tpls c="5">
          <tpl fld="1" item="1"/>
          <tpl fld="7" item="0"/>
          <tpl fld="8" item="0"/>
          <tpl hier="60" item="4294967295"/>
          <tpl hier="64" item="0"/>
        </tpls>
      </n>
      <n v="0" in="0">
        <tpls c="5">
          <tpl fld="1" item="22"/>
          <tpl fld="7" item="0"/>
          <tpl fld="8" item="0"/>
          <tpl fld="9" item="1"/>
          <tpl hier="64" item="0"/>
        </tpls>
      </n>
      <m>
        <tpls c="5">
          <tpl fld="1" item="9"/>
          <tpl fld="7" item="0"/>
          <tpl fld="8" item="3"/>
          <tpl fld="2" item="0"/>
          <tpl hier="64" item="0"/>
        </tpls>
      </m>
      <n v="1600080712.6199996" in="0">
        <tpls c="5">
          <tpl fld="1" item="25"/>
          <tpl fld="7" item="0"/>
          <tpl fld="8" item="0"/>
          <tpl fld="9" item="0"/>
          <tpl hier="64" item="0"/>
        </tpls>
      </n>
      <n v="110258503.81000002" in="0">
        <tpls c="4">
          <tpl fld="7" item="0"/>
          <tpl fld="8" item="0"/>
          <tpl fld="3" item="15"/>
          <tpl hier="64" item="0"/>
        </tpls>
      </n>
      <n v="306" in="1">
        <tpls c="4">
          <tpl fld="7" item="0"/>
          <tpl fld="8" item="4"/>
          <tpl fld="3" item="21"/>
          <tpl hier="64" item="0"/>
        </tpls>
      </n>
      <n v="0" in="0">
        <tpls c="5">
          <tpl fld="1" item="4"/>
          <tpl fld="7" item="0"/>
          <tpl fld="8" item="0"/>
          <tpl fld="9" item="1"/>
          <tpl hier="64" item="0"/>
        </tpls>
      </n>
      <n v="3017" in="1">
        <tpls c="4">
          <tpl fld="7" item="0"/>
          <tpl fld="8" item="4"/>
          <tpl fld="3" item="15"/>
          <tpl hier="64" item="0"/>
        </tpls>
      </n>
      <n v="29584634.740000002" in="0">
        <tpls c="5">
          <tpl fld="1" item="10"/>
          <tpl fld="7" item="0"/>
          <tpl fld="8" item="0"/>
          <tpl hier="60" item="4294967295"/>
          <tpl hier="64" item="0"/>
        </tpls>
      </n>
      <n v="1380" in="1">
        <tpls c="4">
          <tpl fld="7" item="0"/>
          <tpl fld="8" item="4"/>
          <tpl fld="3" item="0"/>
          <tpl hier="64" item="0"/>
        </tpls>
      </n>
      <n v="5459020" in="1">
        <tpls c="5">
          <tpl hier="22" item="4294967295"/>
          <tpl fld="7" item="0"/>
          <tpl fld="8" item="3"/>
          <tpl fld="2" item="0"/>
          <tpl hier="64" item="0"/>
        </tpls>
      </n>
      <n v="36808410.95000001" in="0">
        <tpls c="4">
          <tpl fld="7" item="0"/>
          <tpl fld="8" item="0"/>
          <tpl fld="3" item="16"/>
          <tpl hier="64" item="0"/>
        </tpls>
      </n>
      <n v="56184" in="1">
        <tpls c="4">
          <tpl fld="7" item="0"/>
          <tpl fld="8" item="4"/>
          <tpl fld="3" item="3"/>
          <tpl hier="64" item="0"/>
        </tpls>
      </n>
      <m>
        <tpls c="5">
          <tpl fld="1" item="6"/>
          <tpl fld="7" item="0"/>
          <tpl fld="8" item="0"/>
          <tpl fld="9" item="0"/>
          <tpl hier="64" item="0"/>
        </tpls>
      </m>
      <n v="3152574486.6400013" in="0">
        <tpls c="4">
          <tpl fld="7" item="0"/>
          <tpl fld="8" item="5"/>
          <tpl hier="54" item="4294967295"/>
          <tpl hier="64" item="0"/>
        </tpls>
      </n>
      <n v="189471350.8499999" in="0">
        <tpls c="4">
          <tpl fld="7" item="0"/>
          <tpl fld="8" item="5"/>
          <tpl fld="3" item="11"/>
          <tpl hier="64" item="0"/>
        </tpls>
      </n>
      <n v="31427327.040000014" in="0">
        <tpls c="5">
          <tpl fld="1" item="7"/>
          <tpl fld="7" item="0"/>
          <tpl fld="8" item="0"/>
          <tpl hier="60" item="4294967295"/>
          <tpl hier="64" item="0"/>
        </tpls>
      </n>
      <n v="0" in="1">
        <tpls c="4">
          <tpl fld="7" item="0"/>
          <tpl fld="8" item="3"/>
          <tpl fld="3" item="1"/>
          <tpl hier="64" item="0"/>
        </tpls>
      </n>
      <n v="0" in="1">
        <tpls c="4">
          <tpl fld="7" item="0"/>
          <tpl fld="8" item="4"/>
          <tpl fld="3" item="19"/>
          <tpl hier="64" item="0"/>
        </tpls>
      </n>
      <n v="191425707.11999995" in="0">
        <tpls c="5">
          <tpl fld="1" item="2"/>
          <tpl fld="7" item="0"/>
          <tpl fld="8" item="0"/>
          <tpl hier="60" item="4294967295"/>
          <tpl hier="64" item="0"/>
        </tpls>
      </n>
      <m>
        <tpls c="4">
          <tpl fld="7" item="0"/>
          <tpl fld="8" item="7"/>
          <tpl fld="6" item="15"/>
          <tpl hier="64" item="0"/>
        </tpls>
      </m>
      <m>
        <tpls c="4">
          <tpl fld="7" item="0"/>
          <tpl fld="8" item="1"/>
          <tpl fld="6" item="8"/>
          <tpl hier="64" item="0"/>
        </tpls>
      </m>
      <n v="0" in="0">
        <tpls c="5">
          <tpl fld="1" item="8"/>
          <tpl fld="7" item="0"/>
          <tpl fld="8" item="0"/>
          <tpl fld="9" item="0"/>
          <tpl hier="64" item="0"/>
        </tpls>
      </n>
      <n v="8550.06" in="0">
        <tpls c="4">
          <tpl fld="7" item="0"/>
          <tpl fld="8" item="5"/>
          <tpl fld="3" item="17"/>
          <tpl hier="64" item="0"/>
        </tpls>
      </n>
      <n v="228365397.98000002" in="0">
        <tpls c="4">
          <tpl fld="7" item="0"/>
          <tpl fld="8" item="0"/>
          <tpl fld="3" item="4"/>
          <tpl hier="64" item="0"/>
        </tpls>
      </n>
      <n v="18128560.449999999" in="0">
        <tpls c="4">
          <tpl fld="7" item="0"/>
          <tpl fld="8" item="5"/>
          <tpl fld="3" item="15"/>
          <tpl hier="64" item="0"/>
        </tpls>
      </n>
      <n v="6356359.3499999987" in="0">
        <tpls c="4">
          <tpl fld="7" item="0"/>
          <tpl fld="8" item="5"/>
          <tpl fld="3" item="21"/>
          <tpl hier="64" item="0"/>
        </tpls>
      </n>
      <m>
        <tpls c="4">
          <tpl fld="7" item="0"/>
          <tpl fld="8" item="7"/>
          <tpl fld="6" item="3"/>
          <tpl hier="64" item="0"/>
        </tpls>
      </m>
      <n v="281198580.66999984" in="0">
        <tpls c="5">
          <tpl fld="1" item="21"/>
          <tpl fld="7" item="0"/>
          <tpl fld="8" item="0"/>
          <tpl hier="60" item="4294967295"/>
          <tpl hier="64" item="0"/>
        </tpls>
      </n>
      <n v="38715" in="1">
        <tpls c="4">
          <tpl fld="7" item="0"/>
          <tpl fld="8" item="3"/>
          <tpl fld="3" item="8"/>
          <tpl hier="64" item="0"/>
        </tpls>
      </n>
      <n v="83370230.939999998" in="0">
        <tpls c="5">
          <tpl fld="1" item="21"/>
          <tpl fld="7" item="0"/>
          <tpl fld="8" item="0"/>
          <tpl fld="9" item="1"/>
          <tpl hier="64" item="0"/>
        </tpls>
      </n>
      <n v="104817" in="1">
        <tpls c="4">
          <tpl fld="7" item="0"/>
          <tpl fld="8" item="3"/>
          <tpl fld="3" item="0"/>
          <tpl hier="64" item="0"/>
        </tpls>
      </n>
      <n v="292951" in="1">
        <tpls c="5">
          <tpl fld="1" item="21"/>
          <tpl fld="7" item="0"/>
          <tpl fld="8" item="3"/>
          <tpl fld="2" item="0"/>
          <tpl hier="64" item="0"/>
        </tpls>
      </n>
      <n v="37918988.999999993" in="0">
        <tpls c="5">
          <tpl fld="1" item="4"/>
          <tpl fld="7" item="0"/>
          <tpl fld="8" item="0"/>
          <tpl hier="60" item="4294967295"/>
          <tpl hier="64" item="0"/>
        </tpls>
      </n>
      <n v="109374" in="1">
        <tpls c="4">
          <tpl fld="7" item="0"/>
          <tpl fld="8" item="3"/>
          <tpl fld="3" item="4"/>
          <tpl hier="64" item="0"/>
        </tpls>
      </n>
      <n v="568" in="1">
        <tpls c="4">
          <tpl fld="7" item="0"/>
          <tpl fld="8" item="3"/>
          <tpl fld="3" item="21"/>
          <tpl hier="64" item="0"/>
        </tpls>
      </n>
      <m>
        <tpls c="5">
          <tpl fld="1" item="12"/>
          <tpl fld="7" item="0"/>
          <tpl fld="8" item="0"/>
          <tpl fld="9" item="0"/>
          <tpl hier="64" item="0"/>
        </tpls>
      </m>
      <n v="11172310.389999999" in="0">
        <tpls c="5">
          <tpl fld="1" item="24"/>
          <tpl fld="7" item="0"/>
          <tpl fld="8" item="0"/>
          <tpl hier="60" item="4294967295"/>
          <tpl hier="64" item="0"/>
        </tpls>
      </n>
      <n v="648051298.81999981" in="0">
        <tpls c="5">
          <tpl fld="1" item="20"/>
          <tpl fld="7" item="0"/>
          <tpl fld="8" item="0"/>
          <tpl hier="60" item="4294967295"/>
          <tpl hier="64" item="0"/>
        </tpls>
      </n>
      <n v="7773879.5500000007" in="0">
        <tpls c="5">
          <tpl fld="1" item="15"/>
          <tpl fld="7" item="0"/>
          <tpl fld="8" item="0"/>
          <tpl hier="60" item="4294967295"/>
          <tpl hier="64" item="0"/>
        </tpls>
      </n>
      <n v="2251076730.52" in="0">
        <tpls c="4">
          <tpl fld="7" item="1"/>
          <tpl fld="8" item="5"/>
          <tpl fld="2" item="0"/>
          <tpl hier="64" item="0"/>
        </tpls>
      </n>
      <n v="65653.320000000007" in="0">
        <tpls c="4">
          <tpl fld="7" item="1"/>
          <tpl fld="8" item="5"/>
          <tpl fld="3" item="17"/>
          <tpl hier="64" item="0"/>
        </tpls>
      </n>
      <n v="787315422.81999981" in="0">
        <tpls c="4">
          <tpl fld="7" item="1"/>
          <tpl fld="8" item="5"/>
          <tpl fld="3" item="6"/>
          <tpl hier="64" item="0"/>
        </tpls>
      </n>
      <n v="116034401.72" in="0">
        <tpls c="4">
          <tpl fld="7" item="1"/>
          <tpl fld="8" item="5"/>
          <tpl fld="3" item="23"/>
          <tpl hier="64" item="0"/>
        </tpls>
      </n>
      <n v="68245965.129999995" in="0">
        <tpls c="4">
          <tpl fld="7" item="1"/>
          <tpl fld="8" item="5"/>
          <tpl fld="3" item="10"/>
          <tpl hier="64" item="0"/>
        </tpls>
      </n>
      <n v="89577648.160000026" in="0">
        <tpls c="4">
          <tpl fld="7" item="1"/>
          <tpl fld="8" item="5"/>
          <tpl fld="3" item="5"/>
          <tpl hier="64" item="0"/>
        </tpls>
      </n>
      <n v="0" in="0">
        <tpls c="4">
          <tpl fld="7" item="1"/>
          <tpl fld="8" item="5"/>
          <tpl fld="3" item="19"/>
          <tpl hier="64" item="0"/>
        </tpls>
      </n>
      <n v="199713733.57999986" in="0">
        <tpls c="4">
          <tpl fld="7" item="1"/>
          <tpl fld="8" item="5"/>
          <tpl fld="3" item="11"/>
          <tpl hier="64" item="0"/>
        </tpls>
      </n>
      <n v="324308129.42999995" in="0">
        <tpls c="4">
          <tpl fld="7" item="1"/>
          <tpl fld="8" item="5"/>
          <tpl fld="3" item="3"/>
          <tpl hier="64" item="0"/>
        </tpls>
      </n>
      <n v="8545249.3200000003" in="0">
        <tpls c="4">
          <tpl fld="7" item="1"/>
          <tpl fld="8" item="5"/>
          <tpl fld="3" item="16"/>
          <tpl hier="64" item="0"/>
        </tpls>
      </n>
      <n v="1008944059.4899998" in="0">
        <tpls c="4">
          <tpl fld="7" item="1"/>
          <tpl fld="8" item="5"/>
          <tpl fld="3" item="12"/>
          <tpl hier="64" item="0"/>
        </tpls>
      </n>
      <n v="3358988230.3300004" in="0">
        <tpls c="4">
          <tpl fld="7" item="1"/>
          <tpl fld="8" item="5"/>
          <tpl hier="54" item="4294967295"/>
          <tpl hier="64" item="0"/>
        </tpls>
      </n>
      <n v="4307501.4300000006" in="0">
        <tpls c="4">
          <tpl fld="7" item="1"/>
          <tpl fld="8" item="5"/>
          <tpl fld="3" item="9"/>
          <tpl hier="64" item="0"/>
        </tpls>
      </n>
      <n v="13783530.780000001" in="0">
        <tpls c="4">
          <tpl fld="7" item="1"/>
          <tpl fld="8" item="5"/>
          <tpl fld="3" item="14"/>
          <tpl hier="64" item="0"/>
        </tpls>
      </n>
      <n v="6548665.8500000006" in="0">
        <tpls c="4">
          <tpl fld="7" item="1"/>
          <tpl fld="8" item="5"/>
          <tpl fld="3" item="2"/>
          <tpl hier="64" item="0"/>
        </tpls>
      </n>
      <n v="19865307.91" in="0">
        <tpls c="4">
          <tpl fld="7" item="1"/>
          <tpl fld="8" item="5"/>
          <tpl fld="3" item="15"/>
          <tpl hier="64" item="0"/>
        </tpls>
      </n>
      <n v="457189244.83000004" in="0">
        <tpls c="4">
          <tpl fld="7" item="1"/>
          <tpl fld="8" item="5"/>
          <tpl fld="3" item="7"/>
          <tpl hier="64" item="0"/>
        </tpls>
      </n>
      <n v="2841485.7399999998" in="0">
        <tpls c="4">
          <tpl fld="7" item="1"/>
          <tpl fld="8" item="5"/>
          <tpl fld="3" item="24"/>
          <tpl hier="64" item="0"/>
        </tpls>
      </n>
      <n v="68150256.859999999" in="0">
        <tpls c="4">
          <tpl fld="7" item="1"/>
          <tpl fld="8" item="5"/>
          <tpl fld="3" item="0"/>
          <tpl hier="64" item="0"/>
        </tpls>
      </n>
      <n v="0" in="0">
        <tpls c="4">
          <tpl fld="7" item="1"/>
          <tpl fld="8" item="5"/>
          <tpl fld="3" item="1"/>
          <tpl hier="64" item="0"/>
        </tpls>
      </n>
      <n v="50838441.549999997" in="0">
        <tpls c="4">
          <tpl fld="7" item="1"/>
          <tpl fld="8" item="5"/>
          <tpl fld="3" item="22"/>
          <tpl hier="64" item="0"/>
        </tpls>
      </n>
      <n v="1639950.0299999996" in="0">
        <tpls c="4">
          <tpl fld="7" item="1"/>
          <tpl fld="8" item="5"/>
          <tpl fld="3" item="21"/>
          <tpl hier="64" item="0"/>
        </tpls>
      </n>
      <n v="2521203.1399999997" in="0">
        <tpls c="4">
          <tpl fld="7" item="1"/>
          <tpl fld="8" item="5"/>
          <tpl fld="3" item="13"/>
          <tpl hier="64" item="0"/>
        </tpls>
      </n>
      <n v="62934.59" in="0">
        <tpls c="4">
          <tpl fld="7" item="1"/>
          <tpl fld="8" item="5"/>
          <tpl fld="3" item="18"/>
          <tpl hier="64" item="0"/>
        </tpls>
      </n>
      <n v="1231268.1500000001" in="0">
        <tpls c="4">
          <tpl fld="7" item="1"/>
          <tpl fld="8" item="5"/>
          <tpl fld="3" item="20"/>
          <tpl hier="64" item="0"/>
        </tpls>
      </n>
      <n v="1107911499.8099997" in="0">
        <tpls c="4">
          <tpl fld="7" item="1"/>
          <tpl fld="8" item="5"/>
          <tpl fld="2" item="1"/>
          <tpl hier="64" item="0"/>
        </tpls>
      </n>
      <n v="24591747.609999999" in="0">
        <tpls c="4">
          <tpl fld="7" item="1"/>
          <tpl fld="8" item="5"/>
          <tpl fld="3" item="8"/>
          <tpl hier="64" item="0"/>
        </tpls>
      </n>
      <n v="102666428.89000002" in="0">
        <tpls c="4">
          <tpl fld="7" item="1"/>
          <tpl fld="8" item="5"/>
          <tpl fld="3" item="4"/>
          <tpl hier="64" item="0"/>
        </tpls>
      </n>
      <n v="3986603.27" in="0">
        <tpls c="4">
          <tpl fld="7" item="1"/>
          <tpl fld="8" item="0"/>
          <tpl fld="3" item="20"/>
          <tpl hier="64" item="0"/>
        </tpls>
      </n>
      <n v="64322" in="1">
        <tpls c="4">
          <tpl fld="7" item="1"/>
          <tpl fld="8" item="4"/>
          <tpl fld="3" item="14"/>
          <tpl hier="64" item="0"/>
        </tpls>
      </n>
      <n v="3922" in="1">
        <tpls c="4">
          <tpl fld="7" item="1"/>
          <tpl fld="8" item="3"/>
          <tpl fld="3" item="9"/>
          <tpl hier="64" item="0"/>
        </tpls>
      </n>
      <n v="170271" in="1">
        <tpls c="5">
          <tpl fld="1" item="6"/>
          <tpl fld="7" item="1"/>
          <tpl fld="8" item="3"/>
          <tpl fld="2" item="0"/>
          <tpl hier="64" item="0"/>
        </tpls>
      </n>
      <n v="9508" in="1">
        <tpls c="5">
          <tpl fld="1" item="17"/>
          <tpl fld="7" item="1"/>
          <tpl fld="8" item="3"/>
          <tpl hier="54" item="4294967295"/>
          <tpl hier="64" item="0"/>
        </tpls>
      </n>
      <n v="125970930.48999996" in="0">
        <tpls c="5">
          <tpl fld="1" item="6"/>
          <tpl fld="7" item="1"/>
          <tpl fld="8" item="0"/>
          <tpl fld="9" item="1"/>
          <tpl hier="64" item="0"/>
        </tpls>
      </n>
      <n v="7450034.6600000001" in="0">
        <tpls c="4">
          <tpl fld="7" item="1"/>
          <tpl fld="8" item="0"/>
          <tpl fld="3" item="24"/>
          <tpl hier="64" item="0"/>
        </tpls>
      </n>
      <m>
        <tpls c="5">
          <tpl fld="1" item="17"/>
          <tpl fld="7" item="1"/>
          <tpl fld="8" item="0"/>
          <tpl fld="9" item="0"/>
          <tpl hier="64" item="0"/>
        </tpls>
      </m>
      <n v="0" in="1">
        <tpls c="4">
          <tpl fld="7" item="1"/>
          <tpl fld="8" item="4"/>
          <tpl fld="3" item="19"/>
          <tpl hier="64" item="0"/>
        </tpls>
      </n>
      <m>
        <tpls c="5">
          <tpl fld="1" item="18"/>
          <tpl fld="7" item="1"/>
          <tpl fld="8" item="0"/>
          <tpl fld="9" item="1"/>
          <tpl hier="64" item="0"/>
        </tpls>
      </m>
      <n v="39" in="1">
        <tpls c="4">
          <tpl fld="7" item="0"/>
          <tpl fld="8" item="3"/>
          <tpl fld="10" item="9"/>
          <tpl hier="64" item="0"/>
        </tpls>
      </n>
      <n v="73857" in="1">
        <tpls c="4">
          <tpl fld="7" item="1"/>
          <tpl fld="8" item="4"/>
          <tpl fld="3" item="7"/>
          <tpl hier="64" item="0"/>
        </tpls>
      </n>
      <n v="1577471949.4100003" in="0">
        <tpls c="4">
          <tpl fld="7" item="1"/>
          <tpl fld="8" item="0"/>
          <tpl fld="3" item="12"/>
          <tpl hier="64" item="0"/>
        </tpls>
      </n>
      <n v="450" in="1">
        <tpls c="4">
          <tpl fld="7" item="1"/>
          <tpl fld="8" item="4"/>
          <tpl fld="3" item="2"/>
          <tpl hier="64" item="0"/>
        </tpls>
      </n>
      <n v="239875" in="1">
        <tpls c="5">
          <tpl fld="1" item="3"/>
          <tpl fld="7" item="1"/>
          <tpl fld="8" item="3"/>
          <tpl fld="2" item="0"/>
          <tpl hier="64" item="0"/>
        </tpls>
      </n>
      <n v="11015176.749999998" in="0">
        <tpls c="5">
          <tpl fld="1" item="9"/>
          <tpl fld="7" item="1"/>
          <tpl fld="8" item="0"/>
          <tpl fld="9" item="1"/>
          <tpl hier="64" item="0"/>
        </tpls>
      </n>
      <n v="188725" in="1">
        <tpls c="4">
          <tpl fld="7" item="1"/>
          <tpl fld="8" item="3"/>
          <tpl fld="3" item="14"/>
          <tpl hier="64" item="0"/>
        </tpls>
      </n>
      <n v="4468" in="1">
        <tpls c="4">
          <tpl fld="7" item="1"/>
          <tpl fld="8" item="3"/>
          <tpl fld="3" item="18"/>
          <tpl hier="64" item="0"/>
        </tpls>
      </n>
      <n v="704762622.42999995" in="0">
        <tpls c="5">
          <tpl fld="1" item="20"/>
          <tpl fld="7" item="1"/>
          <tpl fld="8" item="0"/>
          <tpl hier="60" item="4294967295"/>
          <tpl hier="64" item="0"/>
        </tpls>
      </n>
      <n v="180830281.85000005" in="0">
        <tpls c="5">
          <tpl fld="1" item="21"/>
          <tpl fld="7" item="1"/>
          <tpl fld="8" item="0"/>
          <tpl fld="9" item="0"/>
          <tpl hier="64" item="0"/>
        </tpls>
      </n>
      <n v="3735580.41" in="0">
        <tpls c="4">
          <tpl fld="7" item="0"/>
          <tpl fld="8" item="0"/>
          <tpl fld="10" item="26"/>
          <tpl hier="64" item="0"/>
        </tpls>
      </n>
      <n v="50143" in="1">
        <tpls c="5">
          <tpl fld="1" item="16"/>
          <tpl fld="7" item="1"/>
          <tpl fld="8" item="3"/>
          <tpl fld="2" item="1"/>
          <tpl hier="64" item="0"/>
        </tpls>
      </n>
      <n v="1589637" in="1">
        <tpls c="4">
          <tpl fld="7" item="1"/>
          <tpl fld="8" item="3"/>
          <tpl fld="10" item="10"/>
          <tpl hier="64" item="0"/>
        </tpls>
      </n>
      <n v="118462" in="1">
        <tpls c="5">
          <tpl fld="1" item="3"/>
          <tpl fld="7" item="1"/>
          <tpl fld="8" item="3"/>
          <tpl fld="2" item="1"/>
          <tpl hier="64" item="0"/>
        </tpls>
      </n>
      <n v="32012497.200000003" in="0">
        <tpls c="5">
          <tpl fld="1" item="10"/>
          <tpl fld="7" item="1"/>
          <tpl fld="8" item="0"/>
          <tpl hier="60" item="4294967295"/>
          <tpl hier="64" item="0"/>
        </tpls>
      </n>
      <n v="66408" in="1">
        <tpls c="5">
          <tpl fld="1" item="10"/>
          <tpl fld="7" item="1"/>
          <tpl fld="8" item="3"/>
          <tpl hier="54" item="4294967295"/>
          <tpl hier="64" item="0"/>
        </tpls>
      </n>
      <n v="275454" in="1">
        <tpls c="4">
          <tpl fld="7" item="1"/>
          <tpl fld="8" item="3"/>
          <tpl fld="3" item="7"/>
          <tpl hier="64" item="0"/>
        </tpls>
      </n>
      <n v="149600639.26999995" in="0">
        <tpls c="5">
          <tpl fld="1" item="13"/>
          <tpl fld="7" item="1"/>
          <tpl fld="8" item="0"/>
          <tpl hier="60" item="4294967295"/>
          <tpl hier="64" item="0"/>
        </tpls>
      </n>
      <n v="76255.58" in="0">
        <tpls c="4">
          <tpl fld="7" item="1"/>
          <tpl fld="8" item="0"/>
          <tpl fld="10" item="4"/>
          <tpl hier="64" item="0"/>
        </tpls>
      </n>
      <n v="125845048.02000003" in="0">
        <tpls c="4">
          <tpl fld="7" item="1"/>
          <tpl fld="8" item="0"/>
          <tpl fld="10" item="10"/>
          <tpl hier="64" item="0"/>
        </tpls>
      </n>
      <n v="39972" in="1">
        <tpls c="4">
          <tpl fld="7" item="1"/>
          <tpl fld="8" item="4"/>
          <tpl fld="3" item="12"/>
          <tpl hier="64" item="0"/>
        </tpls>
      </n>
      <n v="167487" in="1">
        <tpls c="5">
          <tpl fld="1" item="25"/>
          <tpl fld="7" item="1"/>
          <tpl fld="8" item="3"/>
          <tpl fld="2" item="1"/>
          <tpl hier="64" item="0"/>
        </tpls>
      </n>
      <n v="1892493" in="1">
        <tpls c="4">
          <tpl fld="7" item="1"/>
          <tpl fld="8" item="3"/>
          <tpl fld="3" item="5"/>
          <tpl hier="64" item="0"/>
        </tpls>
      </n>
      <n v="215" in="1">
        <tpls c="4">
          <tpl fld="7" item="1"/>
          <tpl fld="8" item="3"/>
          <tpl fld="10" item="26"/>
          <tpl hier="64" item="0"/>
        </tpls>
      </n>
      <n v="28729" in="1">
        <tpls c="4">
          <tpl fld="7" item="1"/>
          <tpl fld="8" item="3"/>
          <tpl fld="3" item="0"/>
          <tpl hier="64" item="0"/>
        </tpls>
      </n>
      <n v="58563" in="1">
        <tpls c="4">
          <tpl fld="7" item="1"/>
          <tpl fld="8" item="4"/>
          <tpl fld="3" item="3"/>
          <tpl hier="64" item="0"/>
        </tpls>
      </n>
      <n v="1" in="1">
        <tpls c="4">
          <tpl fld="7" item="1"/>
          <tpl fld="8" item="4"/>
          <tpl fld="10" item="4"/>
          <tpl hier="64" item="0"/>
        </tpls>
      </n>
      <n v="8670" in="1">
        <tpls c="4">
          <tpl fld="7" item="1"/>
          <tpl fld="8" item="4"/>
          <tpl fld="3" item="4"/>
          <tpl hier="64" item="0"/>
        </tpls>
      </n>
      <n v="96010522.049999997" in="0">
        <tpls c="5">
          <tpl fld="1" item="4"/>
          <tpl fld="7" item="1"/>
          <tpl fld="8" item="0"/>
          <tpl fld="9" item="0"/>
          <tpl hier="64" item="0"/>
        </tpls>
      </n>
      <n v="3534" in="1">
        <tpls c="4">
          <tpl fld="7" item="1"/>
          <tpl fld="8" item="4"/>
          <tpl fld="10" item="6"/>
          <tpl hier="64" item="0"/>
        </tpls>
      </n>
      <n v="1561478" in="1">
        <tpls c="4">
          <tpl fld="7" item="0"/>
          <tpl fld="8" item="3"/>
          <tpl fld="10" item="10"/>
          <tpl hier="64" item="0"/>
        </tpls>
      </n>
      <n v="6816.91" in="0">
        <tpls c="4">
          <tpl fld="7" item="1"/>
          <tpl fld="8" item="0"/>
          <tpl fld="10" item="15"/>
          <tpl hier="64" item="0"/>
        </tpls>
      </n>
      <n v="773431" in="1">
        <tpls c="5">
          <tpl fld="1" item="20"/>
          <tpl fld="7" item="1"/>
          <tpl fld="8" item="3"/>
          <tpl fld="2" item="0"/>
          <tpl hier="64" item="0"/>
        </tpls>
      </n>
      <n v="506" in="1">
        <tpls c="4">
          <tpl fld="7" item="0"/>
          <tpl fld="8" item="3"/>
          <tpl fld="10" item="20"/>
          <tpl hier="64" item="0"/>
        </tpls>
      </n>
      <n v="413174952.20999986" in="0">
        <tpls c="5">
          <tpl fld="1" item="3"/>
          <tpl fld="7" item="1"/>
          <tpl fld="8" item="0"/>
          <tpl hier="60" item="4294967295"/>
          <tpl hier="64" item="0"/>
        </tpls>
      </n>
      <n v="0" in="1">
        <tpls c="4">
          <tpl fld="7" item="1"/>
          <tpl fld="8" item="3"/>
          <tpl fld="10" item="24"/>
          <tpl hier="64" item="0"/>
        </tpls>
      </n>
      <n v="0" in="1">
        <tpls c="4">
          <tpl fld="7" item="0"/>
          <tpl fld="8" item="4"/>
          <tpl fld="10" item="11"/>
          <tpl hier="64" item="0"/>
        </tpls>
      </n>
      <n v="455995865.20999992" in="0">
        <tpls c="5">
          <tpl fld="1" item="1"/>
          <tpl fld="7" item="1"/>
          <tpl fld="8" item="0"/>
          <tpl fld="9" item="0"/>
          <tpl hier="64" item="0"/>
        </tpls>
      </n>
      <n v="277338" in="1">
        <tpls c="5">
          <tpl fld="1" item="11"/>
          <tpl fld="7" item="1"/>
          <tpl fld="8" item="3"/>
          <tpl hier="54" item="4294967295"/>
          <tpl hier="64" item="0"/>
        </tpls>
      </n>
      <n v="6152484.910000002" in="0">
        <tpls c="4">
          <tpl fld="7" item="0"/>
          <tpl fld="8" item="0"/>
          <tpl fld="10" item="20"/>
          <tpl hier="64" item="0"/>
        </tpls>
      </n>
      <n v="99" in="1">
        <tpls c="4">
          <tpl fld="7" item="1"/>
          <tpl fld="8" item="4"/>
          <tpl fld="10" item="0"/>
          <tpl hier="64" item="0"/>
        </tpls>
      </n>
      <n v="46103500.650000013" in="0">
        <tpls c="4">
          <tpl fld="7" item="1"/>
          <tpl fld="8" item="0"/>
          <tpl fld="3" item="16"/>
          <tpl hier="64" item="0"/>
        </tpls>
      </n>
      <n v="0" in="1">
        <tpls c="4">
          <tpl fld="7" item="0"/>
          <tpl fld="8" item="4"/>
          <tpl fld="10" item="16"/>
          <tpl hier="64" item="0"/>
        </tpls>
      </n>
      <n v="2113176216.4900024" in="0">
        <tpls c="5">
          <tpl fld="1" item="25"/>
          <tpl fld="7" item="1"/>
          <tpl fld="8" item="0"/>
          <tpl hier="60" item="4294967295"/>
          <tpl hier="64" item="0"/>
        </tpls>
      </n>
      <n v="0" in="1">
        <tpls c="5">
          <tpl fld="1" item="22"/>
          <tpl fld="7" item="1"/>
          <tpl fld="8" item="3"/>
          <tpl fld="2" item="1"/>
          <tpl hier="64" item="0"/>
        </tpls>
      </n>
      <n v="10469770.579999998" in="0">
        <tpls c="4">
          <tpl fld="7" item="1"/>
          <tpl fld="8" item="5"/>
          <tpl fld="10" item="10"/>
          <tpl hier="64" item="0"/>
        </tpls>
      </n>
      <n v="2723" in="1">
        <tpls c="4">
          <tpl fld="7" item="0"/>
          <tpl fld="8" item="3"/>
          <tpl fld="10" item="34"/>
          <tpl hier="64" item="0"/>
        </tpls>
      </n>
      <n v="5" in="1">
        <tpls c="4">
          <tpl fld="7" item="0"/>
          <tpl fld="8" item="4"/>
          <tpl fld="10" item="0"/>
          <tpl hier="64" item="0"/>
        </tpls>
      </n>
      <n v="1" in="1">
        <tpls c="4">
          <tpl fld="7" item="0"/>
          <tpl fld="8" item="3"/>
          <tpl fld="10" item="0"/>
          <tpl hier="64" item="0"/>
        </tpls>
      </n>
      <n v="3056" in="1">
        <tpls c="4">
          <tpl fld="7" item="0"/>
          <tpl fld="8" item="3"/>
          <tpl fld="10" item="45"/>
          <tpl hier="64" item="0"/>
        </tpls>
      </n>
      <n v="2" in="1">
        <tpls c="4">
          <tpl fld="7" item="1"/>
          <tpl fld="8" item="4"/>
          <tpl fld="10" item="26"/>
          <tpl hier="64" item="0"/>
        </tpls>
      </n>
      <n v="30897956.910000004" in="0">
        <tpls c="4">
          <tpl fld="7" item="0"/>
          <tpl fld="8" item="0"/>
          <tpl fld="10" item="64"/>
          <tpl hier="64" item="0"/>
        </tpls>
      </n>
      <n v="3986603.27" in="0">
        <tpls c="4">
          <tpl fld="7" item="1"/>
          <tpl fld="8" item="0"/>
          <tpl fld="10" item="59"/>
          <tpl hier="64" item="0"/>
        </tpls>
      </n>
      <n v="9003" in="1">
        <tpls c="4">
          <tpl fld="7" item="1"/>
          <tpl fld="8" item="3"/>
          <tpl fld="10" item="64"/>
          <tpl hier="64" item="0"/>
        </tpls>
      </n>
      <n v="1868041848.9700022" in="0">
        <tpls c="5">
          <tpl fld="1" item="25"/>
          <tpl fld="7" item="1"/>
          <tpl fld="8" item="0"/>
          <tpl fld="9" item="0"/>
          <tpl hier="64" item="0"/>
        </tpls>
      </n>
      <n v="0" in="0">
        <tpls c="5">
          <tpl fld="1" item="1"/>
          <tpl fld="7" item="1"/>
          <tpl fld="8" item="0"/>
          <tpl fld="9" item="1"/>
          <tpl hier="64" item="0"/>
        </tpls>
      </n>
      <n v="2353" in="1">
        <tpls c="4">
          <tpl fld="7" item="1"/>
          <tpl fld="8" item="4"/>
          <tpl fld="3" item="8"/>
          <tpl hier="64" item="0"/>
        </tpls>
      </n>
      <n v="40366099.460000001" in="0">
        <tpls c="4">
          <tpl fld="7" item="1"/>
          <tpl fld="8" item="0"/>
          <tpl fld="3" item="14"/>
          <tpl hier="64" item="0"/>
        </tpls>
      </n>
      <n v="25435845.120000001" in="0">
        <tpls c="4">
          <tpl fld="7" item="0"/>
          <tpl fld="8" item="5"/>
          <tpl fld="10" item="61"/>
          <tpl hier="64" item="0"/>
        </tpls>
      </n>
      <n v="166611" in="1">
        <tpls c="5">
          <tpl fld="1" item="16"/>
          <tpl fld="7" item="1"/>
          <tpl fld="8" item="3"/>
          <tpl fld="2" item="0"/>
          <tpl hier="64" item="0"/>
        </tpls>
      </n>
      <n v="10825703.059999999" in="0">
        <tpls c="5">
          <tpl fld="1" item="17"/>
          <tpl fld="7" item="1"/>
          <tpl fld="8" item="0"/>
          <tpl fld="9" item="1"/>
          <tpl hier="64" item="0"/>
        </tpls>
      </n>
      <n v="121328.15000000001" in="0">
        <tpls c="4">
          <tpl fld="7" item="0"/>
          <tpl fld="8" item="5"/>
          <tpl fld="10" item="65"/>
          <tpl hier="64" item="0"/>
        </tpls>
      </n>
      <n v="2737" in="1">
        <tpls c="4">
          <tpl fld="7" item="1"/>
          <tpl fld="8" item="3"/>
          <tpl fld="10" item="57"/>
          <tpl hier="64" item="0"/>
        </tpls>
      </n>
      <n v="1356" in="1">
        <tpls c="4">
          <tpl fld="7" item="1"/>
          <tpl fld="8" item="4"/>
          <tpl fld="3" item="0"/>
          <tpl hier="64" item="0"/>
        </tpls>
      </n>
      <n v="281054771.70000005" in="0">
        <tpls c="5">
          <tpl fld="1" item="11"/>
          <tpl fld="7" item="1"/>
          <tpl fld="8" item="0"/>
          <tpl hier="60" item="4294967295"/>
          <tpl hier="64" item="0"/>
        </tpls>
      </n>
      <n v="84193" in="1">
        <tpls c="5">
          <tpl fld="1" item="8"/>
          <tpl fld="7" item="1"/>
          <tpl fld="8" item="3"/>
          <tpl hier="54" item="4294967295"/>
          <tpl hier="64" item="0"/>
        </tpls>
      </n>
      <n v="805" in="1">
        <tpls c="4">
          <tpl fld="7" item="1"/>
          <tpl fld="8" item="4"/>
          <tpl fld="10" item="8"/>
          <tpl hier="64" item="0"/>
        </tpls>
      </n>
      <n v="0" in="1">
        <tpls c="4">
          <tpl fld="7" item="0"/>
          <tpl fld="8" item="4"/>
          <tpl fld="10" item="26"/>
          <tpl hier="64" item="0"/>
        </tpls>
      </n>
      <n v="6069" in="1">
        <tpls c="4">
          <tpl fld="7" item="1"/>
          <tpl fld="8" item="4"/>
          <tpl fld="10" item="12"/>
          <tpl hier="64" item="0"/>
        </tpls>
      </n>
      <n v="2930" in="1">
        <tpls c="5">
          <tpl fld="1" item="18"/>
          <tpl fld="7" item="1"/>
          <tpl fld="8" item="3"/>
          <tpl hier="54" item="4294967295"/>
          <tpl hier="64" item="0"/>
        </tpls>
      </n>
      <n v="1381607.5799999998" in="0">
        <tpls c="5">
          <tpl fld="1" item="18"/>
          <tpl fld="7" item="1"/>
          <tpl fld="8" item="0"/>
          <tpl fld="9" item="0"/>
          <tpl hier="64" item="0"/>
        </tpls>
      </n>
      <n v="1924" in="1">
        <tpls c="4">
          <tpl fld="7" item="1"/>
          <tpl fld="8" item="4"/>
          <tpl fld="10" item="18"/>
          <tpl hier="64" item="0"/>
        </tpls>
      </n>
      <n v="6560409" in="1">
        <tpls c="4">
          <tpl fld="7" item="1"/>
          <tpl fld="8" item="3"/>
          <tpl hier="54" item="4294967295"/>
          <tpl hier="64" item="0"/>
        </tpls>
      </n>
      <n v="4747" in="1">
        <tpls c="4">
          <tpl fld="7" item="1"/>
          <tpl fld="8" item="4"/>
          <tpl fld="3" item="10"/>
          <tpl hier="64" item="0"/>
        </tpls>
      </n>
      <n v="0" in="1">
        <tpls c="4">
          <tpl fld="7" item="1"/>
          <tpl fld="8" item="4"/>
          <tpl fld="10" item="69"/>
          <tpl hier="64" item="0"/>
        </tpls>
      </n>
      <n v="2008" in="1">
        <tpls c="4">
          <tpl fld="7" item="1"/>
          <tpl fld="8" item="3"/>
          <tpl fld="3" item="2"/>
          <tpl hier="64" item="0"/>
        </tpls>
      </n>
      <n v="234781370.98999986" in="0">
        <tpls c="4">
          <tpl fld="7" item="1"/>
          <tpl fld="8" item="0"/>
          <tpl fld="3" item="4"/>
          <tpl hier="64" item="0"/>
        </tpls>
      </n>
      <n v="793" in="1">
        <tpls c="4">
          <tpl fld="7" item="0"/>
          <tpl fld="8" item="4"/>
          <tpl fld="10" item="31"/>
          <tpl hier="64" item="0"/>
        </tpls>
      </n>
      <n v="66408" in="1">
        <tpls c="5">
          <tpl fld="1" item="10"/>
          <tpl fld="7" item="1"/>
          <tpl fld="8" item="3"/>
          <tpl fld="2" item="1"/>
          <tpl hier="64" item="0"/>
        </tpls>
      </n>
      <n v="168" in="1">
        <tpls c="4">
          <tpl fld="7" item="1"/>
          <tpl fld="8" item="3"/>
          <tpl fld="3" item="17"/>
          <tpl hier="64" item="0"/>
        </tpls>
      </n>
      <n v="5420192.0899999989" in="0">
        <tpls c="4">
          <tpl fld="7" item="1"/>
          <tpl fld="8" item="0"/>
          <tpl fld="3" item="9"/>
          <tpl hier="64" item="0"/>
        </tpls>
      </n>
      <n v="91434986.629999965" in="0">
        <tpls c="4">
          <tpl fld="7" item="0"/>
          <tpl fld="8" item="0"/>
          <tpl fld="10" item="67"/>
          <tpl hier="64" item="0"/>
        </tpls>
      </n>
      <n v="863853" in="1">
        <tpls c="5">
          <tpl fld="1" item="19"/>
          <tpl fld="7" item="1"/>
          <tpl fld="8" item="3"/>
          <tpl hier="54" item="4294967295"/>
          <tpl hier="64" item="0"/>
        </tpls>
      </n>
      <n v="23010201.799999997" in="0">
        <tpls c="4">
          <tpl fld="7" item="1"/>
          <tpl fld="8" item="5"/>
          <tpl fld="10" item="61"/>
          <tpl hier="64" item="0"/>
        </tpls>
      </n>
      <n v="16964255.77" in="0">
        <tpls c="4">
          <tpl fld="7" item="1"/>
          <tpl fld="8" item="5"/>
          <tpl fld="10" item="75"/>
          <tpl hier="64" item="0"/>
        </tpls>
      </n>
      <n v="27226792.519999996" in="0">
        <tpls c="5">
          <tpl fld="1" item="7"/>
          <tpl fld="7" item="1"/>
          <tpl fld="8" item="0"/>
          <tpl hier="60" item="4294967295"/>
          <tpl hier="64" item="0"/>
        </tpls>
      </n>
      <n v="55460157.11999999" in="0">
        <tpls c="4">
          <tpl fld="7" item="1"/>
          <tpl fld="8" item="0"/>
          <tpl fld="10" item="8"/>
          <tpl hier="64" item="0"/>
        </tpls>
      </n>
      <n v="107432295.44999994" in="0">
        <tpls c="5">
          <tpl fld="1" item="11"/>
          <tpl fld="7" item="1"/>
          <tpl fld="8" item="0"/>
          <tpl fld="9" item="0"/>
          <tpl hier="64" item="0"/>
        </tpls>
      </n>
      <n v="171462.77000000002" in="0">
        <tpls c="4">
          <tpl fld="7" item="0"/>
          <tpl fld="8" item="5"/>
          <tpl fld="10" item="21"/>
          <tpl hier="64" item="0"/>
        </tpls>
      </n>
      <n v="107320918.21000001" in="0">
        <tpls c="4">
          <tpl fld="7" item="1"/>
          <tpl fld="8" item="0"/>
          <tpl fld="3" item="10"/>
          <tpl hier="64" item="0"/>
        </tpls>
      </n>
      <n v="773431" in="1">
        <tpls c="5">
          <tpl fld="1" item="20"/>
          <tpl fld="7" item="1"/>
          <tpl fld="8" item="3"/>
          <tpl hier="54" item="4294967295"/>
          <tpl hier="64" item="0"/>
        </tpls>
      </n>
      <n v="736" in="1">
        <tpls c="4">
          <tpl fld="7" item="0"/>
          <tpl fld="8" item="4"/>
          <tpl fld="10" item="76"/>
          <tpl hier="64" item="0"/>
        </tpls>
      </n>
      <n v="53893115.199999981" in="0">
        <tpls c="5">
          <tpl fld="1" item="14"/>
          <tpl fld="7" item="1"/>
          <tpl fld="8" item="0"/>
          <tpl fld="9" item="0"/>
          <tpl hier="64" item="0"/>
        </tpls>
      </n>
      <n v="213" in="1">
        <tpls c="4">
          <tpl fld="7" item="1"/>
          <tpl fld="8" item="3"/>
          <tpl fld="10" item="7"/>
          <tpl hier="64" item="0"/>
        </tpls>
      </n>
      <n v="14883" in="1">
        <tpls c="5">
          <tpl fld="1" item="0"/>
          <tpl fld="7" item="1"/>
          <tpl fld="8" item="3"/>
          <tpl fld="2" item="1"/>
          <tpl hier="64" item="0"/>
        </tpls>
      </n>
      <n v="548406" in="1">
        <tpls c="5">
          <tpl fld="1" item="19"/>
          <tpl fld="7" item="1"/>
          <tpl fld="8" item="3"/>
          <tpl fld="2" item="0"/>
          <tpl hier="64" item="0"/>
        </tpls>
      </n>
      <n v="9" in="1">
        <tpls c="4">
          <tpl fld="7" item="1"/>
          <tpl fld="8" item="4"/>
          <tpl fld="10" item="65"/>
          <tpl hier="64" item="0"/>
        </tpls>
      </n>
      <n v="4346334.8900000015" in="0">
        <tpls c="4">
          <tpl fld="7" item="1"/>
          <tpl fld="8" item="0"/>
          <tpl fld="10" item="35"/>
          <tpl hier="64" item="0"/>
        </tpls>
      </n>
      <n v="602377" in="1">
        <tpls c="4">
          <tpl fld="7" item="1"/>
          <tpl fld="8" item="3"/>
          <tpl fld="3" item="15"/>
          <tpl hier="64" item="0"/>
        </tpls>
      </n>
      <n v="0" in="0">
        <tpls c="4">
          <tpl fld="7" item="0"/>
          <tpl fld="8" item="5"/>
          <tpl fld="10" item="11"/>
          <tpl hier="64" item="0"/>
        </tpls>
      </n>
      <n v="343071144.07999986" in="0">
        <tpls c="5">
          <tpl fld="1" item="19"/>
          <tpl fld="7" item="1"/>
          <tpl fld="8" item="0"/>
          <tpl fld="9" item="1"/>
          <tpl hier="64" item="0"/>
        </tpls>
      </n>
      <n v="12605432.830000004" in="0">
        <tpls c="4">
          <tpl fld="7" item="0"/>
          <tpl fld="8" item="0"/>
          <tpl fld="10" item="38"/>
          <tpl hier="64" item="0"/>
        </tpls>
      </n>
      <n v="455995865.20999992" in="0">
        <tpls c="5">
          <tpl fld="1" item="1"/>
          <tpl fld="7" item="1"/>
          <tpl fld="8" item="0"/>
          <tpl hier="60" item="4294967295"/>
          <tpl hier="64" item="0"/>
        </tpls>
      </n>
      <n v="1799336" in="1">
        <tpls c="5">
          <tpl fld="1" item="25"/>
          <tpl fld="7" item="1"/>
          <tpl fld="8" item="3"/>
          <tpl fld="2" item="0"/>
          <tpl hier="64" item="0"/>
        </tpls>
      </n>
      <n v="7971" in="1">
        <tpls c="5">
          <tpl fld="1" item="24"/>
          <tpl fld="7" item="1"/>
          <tpl fld="8" item="3"/>
          <tpl fld="2" item="1"/>
          <tpl hier="64" item="0"/>
        </tpls>
      </n>
      <n v="70584776.810000002" in="0">
        <tpls c="4">
          <tpl fld="7" item="1"/>
          <tpl fld="8" item="0"/>
          <tpl fld="3" item="0"/>
          <tpl hier="64" item="0"/>
        </tpls>
      </n>
      <n v="7899665.6899999995" in="0">
        <tpls c="4">
          <tpl fld="7" item="1"/>
          <tpl fld="8" item="0"/>
          <tpl fld="3" item="2"/>
          <tpl hier="64" item="0"/>
        </tpls>
      </n>
      <n v="14559" in="1">
        <tpls c="4">
          <tpl fld="7" item="0"/>
          <tpl fld="8" item="3"/>
          <tpl fld="10" item="17"/>
          <tpl hier="64" item="0"/>
        </tpls>
      </n>
      <n v="114947.53" in="0">
        <tpls c="4">
          <tpl fld="7" item="0"/>
          <tpl fld="8" item="5"/>
          <tpl fld="10" item="70"/>
          <tpl hier="64" item="0"/>
        </tpls>
      </n>
      <n v="512864" in="1">
        <tpls c="5">
          <tpl fld="1" item="1"/>
          <tpl fld="7" item="1"/>
          <tpl fld="8" item="3"/>
          <tpl hier="54" item="4294967295"/>
          <tpl hier="64" item="0"/>
        </tpls>
      </n>
      <n v="659" in="1">
        <tpls c="4">
          <tpl fld="7" item="1"/>
          <tpl fld="8" item="4"/>
          <tpl fld="10" item="10"/>
          <tpl hier="64" item="0"/>
        </tpls>
      </n>
      <n v="0" in="0">
        <tpls c="4">
          <tpl fld="7" item="1"/>
          <tpl fld="8" item="5"/>
          <tpl fld="10" item="15"/>
          <tpl hier="64" item="0"/>
        </tpls>
      </n>
      <n v="0" in="1">
        <tpls c="4">
          <tpl fld="7" item="1"/>
          <tpl fld="8" item="4"/>
          <tpl fld="10" item="16"/>
          <tpl hier="64" item="0"/>
        </tpls>
      </n>
      <n v="445" in="1">
        <tpls c="4">
          <tpl fld="7" item="1"/>
          <tpl fld="8" item="4"/>
          <tpl fld="10" item="38"/>
          <tpl hier="64" item="0"/>
        </tpls>
      </n>
      <n v="5" in="1">
        <tpls c="4">
          <tpl fld="7" item="1"/>
          <tpl fld="8" item="4"/>
          <tpl fld="10" item="21"/>
          <tpl hier="64" item="0"/>
        </tpls>
      </n>
      <n v="3019642.39" in="0">
        <tpls c="4">
          <tpl fld="7" item="1"/>
          <tpl fld="8" item="5"/>
          <tpl fld="10" item="57"/>
          <tpl hier="64" item="0"/>
        </tpls>
      </n>
      <n v="41494634.359999992" in="0">
        <tpls c="5">
          <tpl fld="1" item="22"/>
          <tpl fld="7" item="1"/>
          <tpl fld="8" item="0"/>
          <tpl hier="60" item="4294967295"/>
          <tpl hier="64" item="0"/>
        </tpls>
      </n>
      <n v="144" in="1">
        <tpls c="4">
          <tpl fld="7" item="1"/>
          <tpl fld="8" item="3"/>
          <tpl fld="10" item="84"/>
          <tpl hier="64" item="0"/>
        </tpls>
      </n>
      <n v="49041" in="1">
        <tpls c="4">
          <tpl fld="7" item="1"/>
          <tpl fld="8" item="3"/>
          <tpl fld="3" item="10"/>
          <tpl hier="64" item="0"/>
        </tpls>
      </n>
      <m>
        <tpls c="5">
          <tpl fld="1" item="7"/>
          <tpl fld="7" item="1"/>
          <tpl fld="8" item="0"/>
          <tpl fld="9" item="1"/>
          <tpl hier="64" item="0"/>
        </tpls>
      </m>
      <n v="0" in="0">
        <tpls c="4">
          <tpl fld="7" item="1"/>
          <tpl fld="8" item="5"/>
          <tpl fld="10" item="37"/>
          <tpl hier="64" item="0"/>
        </tpls>
      </n>
      <n v="9508" in="1">
        <tpls c="5">
          <tpl fld="1" item="17"/>
          <tpl fld="7" item="1"/>
          <tpl fld="8" item="3"/>
          <tpl fld="2" item="1"/>
          <tpl hier="64" item="0"/>
        </tpls>
      </n>
      <n v="0" in="1">
        <tpls c="4">
          <tpl fld="7" item="0"/>
          <tpl fld="8" item="3"/>
          <tpl fld="10" item="44"/>
          <tpl hier="64" item="0"/>
        </tpls>
      </n>
      <n v="0" in="1">
        <tpls c="5">
          <tpl fld="1" item="0"/>
          <tpl fld="7" item="1"/>
          <tpl fld="8" item="3"/>
          <tpl fld="2" item="0"/>
          <tpl hier="64" item="0"/>
        </tpls>
      </n>
      <n v="124998552.03999998" in="0">
        <tpls c="4">
          <tpl fld="7" item="0"/>
          <tpl fld="8" item="0"/>
          <tpl fld="10" item="10"/>
          <tpl hier="64" item="0"/>
        </tpls>
      </n>
      <n v="0" in="0">
        <tpls c="4">
          <tpl fld="7" item="1"/>
          <tpl fld="8" item="0"/>
          <tpl fld="3" item="1"/>
          <tpl hier="64" item="0"/>
        </tpls>
      </n>
      <n v="2280020176.2299995" in="0">
        <tpls c="4">
          <tpl fld="7" item="1"/>
          <tpl fld="8" item="0"/>
          <tpl fld="3" item="6"/>
          <tpl hier="64" item="0"/>
        </tpls>
      </n>
      <n v="7384081.4800000004" in="0">
        <tpls c="4">
          <tpl fld="7" item="0"/>
          <tpl fld="8" item="5"/>
          <tpl fld="10" item="8"/>
          <tpl hier="64" item="0"/>
        </tpls>
      </n>
      <n v="46" in="1">
        <tpls c="4">
          <tpl fld="7" item="1"/>
          <tpl fld="8" item="3"/>
          <tpl fld="10" item="66"/>
          <tpl hier="64" item="0"/>
        </tpls>
      </n>
      <n v="358337" in="1">
        <tpls c="5">
          <tpl fld="1" item="3"/>
          <tpl fld="7" item="1"/>
          <tpl fld="8" item="3"/>
          <tpl hier="54" item="4294967295"/>
          <tpl hier="64" item="0"/>
        </tpls>
      </n>
      <n v="14900" in="1">
        <tpls c="4">
          <tpl fld="7" item="1"/>
          <tpl fld="8" item="3"/>
          <tpl fld="10" item="17"/>
          <tpl hier="64" item="0"/>
        </tpls>
      </n>
      <n v="1551593" in="1">
        <tpls c="4">
          <tpl fld="7" item="1"/>
          <tpl fld="8" item="3"/>
          <tpl fld="3" item="6"/>
          <tpl hier="64" item="0"/>
        </tpls>
      </n>
      <n v="12624174.700000001" in="0">
        <tpls c="4">
          <tpl fld="7" item="0"/>
          <tpl fld="8" item="5"/>
          <tpl fld="10" item="39"/>
          <tpl hier="64" item="0"/>
        </tpls>
      </n>
      <m>
        <tpls c="5">
          <tpl fld="1" item="15"/>
          <tpl fld="7" item="1"/>
          <tpl fld="8" item="3"/>
          <tpl fld="2" item="1"/>
          <tpl hier="64" item="0"/>
        </tpls>
      </m>
      <n v="73669.19" in="0">
        <tpls c="4">
          <tpl fld="7" item="0"/>
          <tpl fld="8" item="5"/>
          <tpl fld="10" item="40"/>
          <tpl hier="64" item="0"/>
        </tpls>
      </n>
      <n v="71265.81" in="0">
        <tpls c="4">
          <tpl fld="7" item="1"/>
          <tpl fld="8" item="5"/>
          <tpl fld="10" item="69"/>
          <tpl hier="64" item="0"/>
        </tpls>
      </n>
      <n v="0" in="1">
        <tpls c="4">
          <tpl fld="7" item="1"/>
          <tpl fld="8" item="3"/>
          <tpl fld="3" item="19"/>
          <tpl hier="64" item="0"/>
        </tpls>
      </n>
      <n v="245134367.52000004" in="0">
        <tpls c="5">
          <tpl fld="1" item="25"/>
          <tpl fld="7" item="1"/>
          <tpl fld="8" item="0"/>
          <tpl fld="9" item="1"/>
          <tpl hier="64" item="0"/>
        </tpls>
      </n>
      <n v="64" in="1">
        <tpls c="4">
          <tpl fld="7" item="1"/>
          <tpl fld="8" item="4"/>
          <tpl fld="3" item="13"/>
          <tpl hier="64" item="0"/>
        </tpls>
      </n>
      <n v="24211350.59" in="0">
        <tpls c="4">
          <tpl fld="7" item="0"/>
          <tpl fld="8" item="0"/>
          <tpl fld="10" item="31"/>
          <tpl hier="64" item="0"/>
        </tpls>
      </n>
      <n v="26012015.780000001" in="0">
        <tpls c="4">
          <tpl fld="7" item="0"/>
          <tpl fld="8" item="5"/>
          <tpl fld="10" item="31"/>
          <tpl hier="64" item="0"/>
        </tpls>
      </n>
      <n v="0" in="0">
        <tpls c="4">
          <tpl fld="7" item="0"/>
          <tpl fld="8" item="5"/>
          <tpl fld="10" item="16"/>
          <tpl hier="64" item="0"/>
        </tpls>
      </n>
      <n v="2934" in="1">
        <tpls c="4">
          <tpl fld="7" item="0"/>
          <tpl fld="8" item="3"/>
          <tpl fld="10" item="51"/>
          <tpl hier="64" item="0"/>
        </tpls>
      </n>
      <n v="675" in="1">
        <tpls c="4">
          <tpl fld="7" item="0"/>
          <tpl fld="8" item="4"/>
          <tpl fld="10" item="8"/>
          <tpl hier="64" item="0"/>
        </tpls>
      </n>
      <n v="32412" in="1">
        <tpls c="5">
          <tpl fld="1" item="2"/>
          <tpl fld="7" item="1"/>
          <tpl fld="8" item="3"/>
          <tpl fld="2" item="0"/>
          <tpl hier="64" item="0"/>
        </tpls>
      </n>
      <n v="24436" in="1">
        <tpls c="5">
          <tpl fld="1" item="7"/>
          <tpl fld="7" item="1"/>
          <tpl fld="8" item="3"/>
          <tpl fld="2" item="0"/>
          <tpl hier="64" item="0"/>
        </tpls>
      </n>
      <n v="113120412.22000003" in="0">
        <tpls c="5">
          <tpl fld="1" item="12"/>
          <tpl fld="7" item="1"/>
          <tpl fld="8" item="0"/>
          <tpl hier="60" item="4294967295"/>
          <tpl hier="64" item="0"/>
        </tpls>
      </n>
      <n v="210720" in="1">
        <tpls c="4">
          <tpl fld="7" item="1"/>
          <tpl fld="8" item="3"/>
          <tpl fld="10" item="28"/>
          <tpl hier="64" item="0"/>
        </tpls>
      </n>
      <n v="0" in="0">
        <tpls c="4">
          <tpl fld="7" item="1"/>
          <tpl fld="8" item="0"/>
          <tpl fld="10" item="24"/>
          <tpl hier="64" item="0"/>
        </tpls>
      </n>
      <n v="7005.86" in="0">
        <tpls c="4">
          <tpl fld="7" item="1"/>
          <tpl fld="8" item="0"/>
          <tpl fld="10" item="0"/>
          <tpl hier="64" item="0"/>
        </tpls>
      </n>
      <n v="10182" in="1">
        <tpls c="4">
          <tpl fld="7" item="0"/>
          <tpl fld="8" item="3"/>
          <tpl fld="10" item="31"/>
          <tpl hier="64" item="0"/>
        </tpls>
      </n>
      <n v="0" in="0">
        <tpls c="4">
          <tpl fld="7" item="0"/>
          <tpl fld="8" item="0"/>
          <tpl fld="10" item="82"/>
          <tpl hier="64" item="0"/>
        </tpls>
      </n>
      <n v="125602014.28000003" in="0">
        <tpls c="4">
          <tpl fld="7" item="0"/>
          <tpl fld="8" item="0"/>
          <tpl fld="10" item="17"/>
          <tpl hier="64" item="0"/>
        </tpls>
      </n>
      <n v="541328.16" in="0">
        <tpls c="4">
          <tpl fld="7" item="0"/>
          <tpl fld="8" item="0"/>
          <tpl fld="10" item="66"/>
          <tpl hier="64" item="0"/>
        </tpls>
      </n>
      <n v="2223" in="1">
        <tpls c="4">
          <tpl fld="7" item="0"/>
          <tpl fld="8" item="3"/>
          <tpl fld="10" item="42"/>
          <tpl hier="64" item="0"/>
        </tpls>
      </n>
      <n v="6371659.7000000002" in="0">
        <tpls c="5">
          <tpl fld="1" item="15"/>
          <tpl fld="7" item="1"/>
          <tpl fld="8" item="0"/>
          <tpl hier="60" item="4294967295"/>
          <tpl hier="64" item="0"/>
        </tpls>
      </n>
      <n v="3585996.12" in="0">
        <tpls c="4">
          <tpl fld="7" item="1"/>
          <tpl fld="8" item="5"/>
          <tpl fld="10" item="45"/>
          <tpl hier="64" item="0"/>
        </tpls>
      </n>
      <n v="244" in="1">
        <tpls c="4">
          <tpl fld="7" item="1"/>
          <tpl fld="8" item="4"/>
          <tpl fld="10" item="83"/>
          <tpl hier="64" item="0"/>
        </tpls>
      </n>
      <n v="246174" in="1">
        <tpls c="4">
          <tpl fld="7" item="1"/>
          <tpl fld="8" item="4"/>
          <tpl fld="3" item="23"/>
          <tpl hier="64" item="0"/>
        </tpls>
      </n>
      <n v="26497" in="1">
        <tpls c="4">
          <tpl fld="7" item="0"/>
          <tpl fld="8" item="3"/>
          <tpl fld="10" item="27"/>
          <tpl hier="64" item="0"/>
        </tpls>
      </n>
      <n v="8" in="1">
        <tpls c="4">
          <tpl fld="7" item="1"/>
          <tpl fld="8" item="4"/>
          <tpl fld="3" item="24"/>
          <tpl hier="64" item="0"/>
        </tpls>
      </n>
      <n v="96661891.600000009" in="0">
        <tpls c="4">
          <tpl fld="7" item="0"/>
          <tpl fld="8" item="0"/>
          <tpl fld="10" item="89"/>
          <tpl hier="64" item="0"/>
        </tpls>
      </n>
      <n v="0" in="1">
        <tpls c="5">
          <tpl fld="1" item="8"/>
          <tpl fld="7" item="1"/>
          <tpl fld="8" item="3"/>
          <tpl fld="2" item="0"/>
          <tpl hier="64" item="0"/>
        </tpls>
      </n>
      <n v="156010" in="1">
        <tpls c="4">
          <tpl fld="7" item="1"/>
          <tpl fld="8" item="3"/>
          <tpl fld="10" item="8"/>
          <tpl hier="64" item="0"/>
        </tpls>
      </n>
      <m>
        <tpls c="5">
          <tpl fld="1" item="14"/>
          <tpl fld="7" item="1"/>
          <tpl fld="8" item="0"/>
          <tpl fld="9" item="1"/>
          <tpl hier="64" item="0"/>
        </tpls>
      </m>
      <n v="307" in="1">
        <tpls c="4">
          <tpl fld="7" item="1"/>
          <tpl fld="8" item="4"/>
          <tpl fld="3" item="21"/>
          <tpl hier="64" item="0"/>
        </tpls>
      </n>
      <n v="66031773.800000027" in="0">
        <tpls c="4">
          <tpl fld="7" item="1"/>
          <tpl fld="8" item="5"/>
          <tpl fld="10" item="12"/>
          <tpl hier="64" item="0"/>
        </tpls>
      </n>
      <m>
        <tpls c="5">
          <tpl fld="1" item="7"/>
          <tpl fld="7" item="1"/>
          <tpl fld="8" item="3"/>
          <tpl fld="2" item="1"/>
          <tpl hier="64" item="0"/>
        </tpls>
      </m>
      <n v="23642611.029999997" in="0">
        <tpls c="4">
          <tpl fld="7" item="0"/>
          <tpl fld="8" item="0"/>
          <tpl fld="10" item="18"/>
          <tpl hier="64" item="0"/>
        </tpls>
      </n>
      <n v="2867" in="1">
        <tpls c="4">
          <tpl fld="7" item="1"/>
          <tpl fld="8" item="4"/>
          <tpl fld="3" item="16"/>
          <tpl hier="64" item="0"/>
        </tpls>
      </n>
      <n v="310" in="1">
        <tpls c="4">
          <tpl fld="7" item="0"/>
          <tpl fld="8" item="4"/>
          <tpl fld="10" item="83"/>
          <tpl hier="64" item="0"/>
        </tpls>
      </n>
      <n v="11025" in="1">
        <tpls c="5">
          <tpl fld="1" item="22"/>
          <tpl fld="7" item="1"/>
          <tpl fld="8" item="3"/>
          <tpl hier="54" item="4294967295"/>
          <tpl hier="64" item="0"/>
        </tpls>
      </n>
      <n v="281276691.49000001" in="0">
        <tpls c="5">
          <tpl fld="1" item="16"/>
          <tpl fld="7" item="1"/>
          <tpl fld="8" item="0"/>
          <tpl hier="60" item="4294967295"/>
          <tpl hier="64" item="0"/>
        </tpls>
      </n>
      <n v="18649381.200000003" in="0">
        <tpls c="4">
          <tpl fld="7" item="0"/>
          <tpl fld="8" item="5"/>
          <tpl fld="10" item="63"/>
          <tpl hier="64" item="0"/>
        </tpls>
      </n>
      <n v="2519257.66" in="0">
        <tpls c="4">
          <tpl fld="7" item="0"/>
          <tpl fld="8" item="0"/>
          <tpl fld="10" item="60"/>
          <tpl hier="64" item="0"/>
        </tpls>
      </n>
      <n v="1833043.2299999997" in="0">
        <tpls c="4">
          <tpl fld="7" item="1"/>
          <tpl fld="8" item="0"/>
          <tpl fld="3" item="18"/>
          <tpl hier="64" item="0"/>
        </tpls>
      </n>
      <n v="138668875.46000004" in="0">
        <tpls c="5">
          <tpl fld="1" item="8"/>
          <tpl fld="7" item="1"/>
          <tpl fld="8" item="0"/>
          <tpl fld="9" item="1"/>
          <tpl hier="64" item="0"/>
        </tpls>
      </n>
      <n v="365174.16" in="0">
        <tpls c="4">
          <tpl fld="7" item="0"/>
          <tpl fld="8" item="5"/>
          <tpl fld="10" item="0"/>
          <tpl hier="64" item="0"/>
        </tpls>
      </n>
      <n v="133" in="1">
        <tpls c="4">
          <tpl fld="7" item="1"/>
          <tpl fld="8" item="4"/>
          <tpl fld="10" item="66"/>
          <tpl hier="64" item="0"/>
        </tpls>
      </n>
      <n v="145" in="1">
        <tpls c="4">
          <tpl fld="7" item="1"/>
          <tpl fld="8" item="4"/>
          <tpl fld="10" item="1"/>
          <tpl hier="64" item="0"/>
        </tpls>
      </n>
      <n v="3432195.6399999997" in="0">
        <tpls c="4">
          <tpl fld="7" item="1"/>
          <tpl fld="8" item="0"/>
          <tpl fld="10" item="83"/>
          <tpl hier="64" item="0"/>
        </tpls>
      </n>
      <n v="44" in="1">
        <tpls c="4">
          <tpl fld="7" item="1"/>
          <tpl fld="8" item="3"/>
          <tpl fld="10" item="9"/>
          <tpl hier="64" item="0"/>
        </tpls>
      </n>
      <n v="32037216.889999993" in="0">
        <tpls c="4">
          <tpl fld="7" item="1"/>
          <tpl fld="8" item="0"/>
          <tpl fld="10" item="64"/>
          <tpl hier="64" item="0"/>
        </tpls>
      </n>
      <n v="1434829" in="1">
        <tpls c="4">
          <tpl fld="7" item="1"/>
          <tpl fld="8" item="3"/>
          <tpl fld="2" item="1"/>
          <tpl hier="64" item="0"/>
        </tpls>
      </n>
      <n v="38" in="1">
        <tpls c="4">
          <tpl fld="7" item="0"/>
          <tpl fld="8" item="4"/>
          <tpl fld="10" item="9"/>
          <tpl hier="64" item="0"/>
        </tpls>
      </n>
      <n v="53893115.199999981" in="0">
        <tpls c="5">
          <tpl fld="1" item="14"/>
          <tpl fld="7" item="1"/>
          <tpl fld="8" item="0"/>
          <tpl hier="60" item="4294967295"/>
          <tpl hier="64" item="0"/>
        </tpls>
      </n>
      <n v="25" in="1">
        <tpls c="4">
          <tpl fld="7" item="1"/>
          <tpl fld="8" item="3"/>
          <tpl fld="10" item="4"/>
          <tpl hier="64" item="0"/>
        </tpls>
      </n>
      <n v="6371659.7000000002" in="0">
        <tpls c="5">
          <tpl fld="1" item="15"/>
          <tpl fld="7" item="1"/>
          <tpl fld="8" item="0"/>
          <tpl fld="9" item="0"/>
          <tpl hier="64" item="0"/>
        </tpls>
      </n>
      <m>
        <tpls c="5">
          <tpl fld="1" item="12"/>
          <tpl fld="7" item="1"/>
          <tpl fld="8" item="3"/>
          <tpl fld="2" item="0"/>
          <tpl hier="64" item="0"/>
        </tpls>
      </m>
      <n v="438132.20999999996" in="0">
        <tpls c="4">
          <tpl fld="7" item="1"/>
          <tpl fld="8" item="5"/>
          <tpl fld="10" item="0"/>
          <tpl hier="64" item="0"/>
        </tpls>
      </n>
      <n v="100415" in="1">
        <tpls c="4">
          <tpl fld="7" item="1"/>
          <tpl fld="8" item="3"/>
          <tpl fld="3" item="4"/>
          <tpl hier="64" item="0"/>
        </tpls>
      </n>
      <n v="1812852377.73" in="0">
        <tpls c="5">
          <tpl hier="22" item="4294967295"/>
          <tpl fld="7" item="1"/>
          <tpl fld="8" item="0"/>
          <tpl fld="9" item="1"/>
          <tpl hier="64" item="0"/>
        </tpls>
      </n>
      <n v="316604" in="1">
        <tpls c="5">
          <tpl fld="1" item="6"/>
          <tpl fld="7" item="1"/>
          <tpl fld="8" item="3"/>
          <tpl hier="54" item="4294967295"/>
          <tpl hier="64" item="0"/>
        </tpls>
      </n>
      <n v="196745272.72000003" in="0">
        <tpls c="5">
          <tpl fld="1" item="2"/>
          <tpl fld="7" item="1"/>
          <tpl fld="8" item="0"/>
          <tpl hier="60" item="4294967295"/>
          <tpl hier="64" item="0"/>
        </tpls>
      </n>
      <n v="1667894.1399999997" in="0">
        <tpls c="4">
          <tpl fld="7" item="1"/>
          <tpl fld="8" item="0"/>
          <tpl fld="10" item="9"/>
          <tpl hier="64" item="0"/>
        </tpls>
      </n>
      <n v="13462536.630000001" in="0">
        <tpls c="4">
          <tpl fld="7" item="1"/>
          <tpl fld="8" item="0"/>
          <tpl fld="10" item="38"/>
          <tpl hier="64" item="0"/>
        </tpls>
      </n>
      <n v="0" in="0">
        <tpls c="4">
          <tpl fld="7" item="1"/>
          <tpl fld="8" item="5"/>
          <tpl fld="10" item="24"/>
          <tpl hier="64" item="0"/>
        </tpls>
      </n>
      <n v="2260200162.9000001" in="0">
        <tpls c="4">
          <tpl fld="7" item="1"/>
          <tpl fld="8" item="0"/>
          <tpl fld="10" item="94"/>
          <tpl hier="64" item="0"/>
        </tpls>
      </n>
      <n v="21790064.719999991" in="0">
        <tpls c="5">
          <tpl fld="1" item="2"/>
          <tpl fld="7" item="1"/>
          <tpl fld="8" item="0"/>
          <tpl fld="9" item="0"/>
          <tpl hier="64" item="0"/>
        </tpls>
      </n>
      <n v="460720080.89999998" in="0">
        <tpls c="4">
          <tpl fld="7" item="0"/>
          <tpl fld="8" item="0"/>
          <tpl fld="10" item="28"/>
          <tpl hier="64" item="0"/>
        </tpls>
      </n>
      <n v="24436" in="1">
        <tpls c="5">
          <tpl fld="1" item="7"/>
          <tpl fld="7" item="1"/>
          <tpl fld="8" item="3"/>
          <tpl hier="54" item="4294967295"/>
          <tpl hier="64" item="0"/>
        </tpls>
      </n>
      <n v="6418119.6700000009" in="0">
        <tpls c="4">
          <tpl fld="7" item="0"/>
          <tpl fld="8" item="0"/>
          <tpl fld="10" item="29"/>
          <tpl hier="64" item="0"/>
        </tpls>
      </n>
      <n v="717" in="1">
        <tpls c="4">
          <tpl fld="7" item="0"/>
          <tpl fld="8" item="3"/>
          <tpl fld="10" item="83"/>
          <tpl hier="64" item="0"/>
        </tpls>
      </n>
      <n v="75908" in="1">
        <tpls c="5">
          <tpl fld="1" item="21"/>
          <tpl fld="7" item="1"/>
          <tpl fld="8" item="3"/>
          <tpl fld="2" item="1"/>
          <tpl hier="64" item="0"/>
        </tpls>
      </n>
      <n v="12971323.91" in="0">
        <tpls c="4">
          <tpl fld="7" item="0"/>
          <tpl fld="8" item="5"/>
          <tpl fld="10" item="52"/>
          <tpl hier="64" item="0"/>
        </tpls>
      </n>
      <n v="0" in="1">
        <tpls c="4">
          <tpl fld="7" item="0"/>
          <tpl fld="8" item="4"/>
          <tpl fld="10" item="37"/>
          <tpl hier="64" item="0"/>
        </tpls>
      </n>
      <n v="102132672.13000003" in="0">
        <tpls c="4">
          <tpl fld="7" item="1"/>
          <tpl fld="8" item="0"/>
          <tpl fld="10" item="52"/>
          <tpl hier="64" item="0"/>
        </tpls>
      </n>
      <n v="120082" in="1">
        <tpls c="5">
          <tpl fld="1" item="11"/>
          <tpl fld="7" item="1"/>
          <tpl fld="8" item="3"/>
          <tpl fld="2" item="1"/>
          <tpl hier="64" item="0"/>
        </tpls>
      </n>
      <n v="514700" in="1">
        <tpls c="4">
          <tpl fld="7" item="1"/>
          <tpl fld="8" item="3"/>
          <tpl fld="10" item="62"/>
          <tpl hier="64" item="0"/>
        </tpls>
      </n>
      <n v="44" in="1">
        <tpls c="5">
          <tpl fld="1" item="15"/>
          <tpl fld="7" item="1"/>
          <tpl fld="8" item="3"/>
          <tpl fld="2" item="0"/>
          <tpl hier="64" item="0"/>
        </tpls>
      </n>
      <n v="347143" in="1">
        <tpls c="4">
          <tpl fld="7" item="1"/>
          <tpl fld="8" item="3"/>
          <tpl fld="10" item="92"/>
          <tpl hier="64" item="0"/>
        </tpls>
      </n>
      <n v="61754308.149999984" in="0">
        <tpls c="4">
          <tpl fld="7" item="0"/>
          <tpl fld="8" item="0"/>
          <tpl fld="10" item="19"/>
          <tpl hier="64" item="0"/>
        </tpls>
      </n>
      <n v="31124" in="1">
        <tpls c="4">
          <tpl fld="7" item="1"/>
          <tpl fld="8" item="3"/>
          <tpl fld="3" item="8"/>
          <tpl hier="64" item="0"/>
        </tpls>
      </n>
      <n v="4341046.5299999993" in="0">
        <tpls c="4">
          <tpl fld="7" item="1"/>
          <tpl fld="8" item="0"/>
          <tpl fld="10" item="60"/>
          <tpl hier="64" item="0"/>
        </tpls>
      </n>
      <n v="162682434.59999999" in="0">
        <tpls c="4">
          <tpl fld="7" item="1"/>
          <tpl fld="8" item="0"/>
          <tpl fld="3" item="22"/>
          <tpl hier="64" item="0"/>
        </tpls>
      </n>
      <n v="12" in="1">
        <tpls c="4">
          <tpl fld="7" item="1"/>
          <tpl fld="8" item="4"/>
          <tpl fld="10" item="53"/>
          <tpl hier="64" item="0"/>
        </tpls>
      </n>
      <n v="8483" in="1">
        <tpls c="4">
          <tpl fld="7" item="1"/>
          <tpl fld="8" item="3"/>
          <tpl fld="10" item="30"/>
          <tpl hier="64" item="0"/>
        </tpls>
      </n>
      <n v="1844317.4899999998" in="0">
        <tpls c="4">
          <tpl fld="7" item="0"/>
          <tpl fld="8" item="0"/>
          <tpl fld="10" item="34"/>
          <tpl hier="64" item="0"/>
        </tpls>
      </n>
      <n v="23067078.300000001" in="0">
        <tpls c="4">
          <tpl fld="7" item="1"/>
          <tpl fld="8" item="0"/>
          <tpl fld="10" item="13"/>
          <tpl hier="64" item="0"/>
        </tpls>
      </n>
      <n v="2" in="1">
        <tpls c="4">
          <tpl fld="7" item="0"/>
          <tpl fld="8" item="4"/>
          <tpl fld="10" item="65"/>
          <tpl hier="64" item="0"/>
        </tpls>
      </n>
      <n v="75" in="1">
        <tpls c="4">
          <tpl fld="7" item="1"/>
          <tpl fld="8" item="3"/>
          <tpl fld="10" item="95"/>
          <tpl hier="64" item="0"/>
        </tpls>
      </n>
      <n v="5615" in="1">
        <tpls c="4">
          <tpl fld="7" item="1"/>
          <tpl fld="8" item="3"/>
          <tpl fld="10" item="35"/>
          <tpl hier="64" item="0"/>
        </tpls>
      </n>
      <n v="266" in="1">
        <tpls c="4">
          <tpl fld="7" item="0"/>
          <tpl fld="8" item="4"/>
          <tpl fld="10" item="75"/>
          <tpl hier="64" item="0"/>
        </tpls>
      </n>
      <n v="15447" in="1">
        <tpls c="4">
          <tpl fld="7" item="1"/>
          <tpl fld="8" item="3"/>
          <tpl fld="3" item="22"/>
          <tpl hier="64" item="0"/>
        </tpls>
      </n>
      <n v="16887461.039999995" in="0">
        <tpls c="4">
          <tpl fld="7" item="0"/>
          <tpl fld="8" item="0"/>
          <tpl fld="10" item="51"/>
          <tpl hier="64" item="0"/>
        </tpls>
      </n>
      <n v="0" in="1">
        <tpls c="5">
          <tpl fld="1" item="20"/>
          <tpl fld="7" item="1"/>
          <tpl fld="8" item="3"/>
          <tpl fld="2" item="1"/>
          <tpl hier="64" item="0"/>
        </tpls>
      </n>
      <n v="14800" in="1">
        <tpls c="4">
          <tpl fld="7" item="1"/>
          <tpl fld="8" item="3"/>
          <tpl fld="3" item="16"/>
          <tpl hier="64" item="0"/>
        </tpls>
      </n>
      <n v="0" in="1">
        <tpls c="4">
          <tpl fld="7" item="0"/>
          <tpl fld="8" item="3"/>
          <tpl fld="10" item="16"/>
          <tpl hier="64" item="0"/>
        </tpls>
      </n>
      <n v="374" in="1">
        <tpls c="4">
          <tpl fld="7" item="1"/>
          <tpl fld="8" item="4"/>
          <tpl fld="10" item="75"/>
          <tpl hier="64" item="0"/>
        </tpls>
      </n>
      <n v="34785" in="1">
        <tpls c="4">
          <tpl fld="7" item="1"/>
          <tpl fld="8" item="4"/>
          <tpl fld="10" item="62"/>
          <tpl hier="64" item="0"/>
        </tpls>
      </n>
      <n v="0" in="1">
        <tpls c="4">
          <tpl fld="7" item="1"/>
          <tpl fld="8" item="4"/>
          <tpl fld="10" item="37"/>
          <tpl hier="64" item="0"/>
        </tpls>
      </n>
      <n v="65603493.809999995" in="0">
        <tpls c="4">
          <tpl fld="7" item="0"/>
          <tpl fld="8" item="0"/>
          <tpl fld="10" item="54"/>
          <tpl hier="64" item="0"/>
        </tpls>
      </n>
      <n v="173622476.25000003" in="0">
        <tpls c="5">
          <tpl fld="1" item="11"/>
          <tpl fld="7" item="1"/>
          <tpl fld="8" item="0"/>
          <tpl fld="9" item="1"/>
          <tpl hier="64" item="0"/>
        </tpls>
      </n>
      <n v="114" in="1">
        <tpls c="4">
          <tpl fld="7" item="0"/>
          <tpl fld="8" item="3"/>
          <tpl fld="10" item="59"/>
          <tpl hier="64" item="0"/>
        </tpls>
      </n>
      <n v="264" in="1">
        <tpls c="4">
          <tpl fld="7" item="0"/>
          <tpl fld="8" item="4"/>
          <tpl fld="10" item="45"/>
          <tpl hier="64" item="0"/>
        </tpls>
      </n>
      <n v="4117899.16" in="0">
        <tpls c="4">
          <tpl fld="7" item="0"/>
          <tpl fld="8" item="0"/>
          <tpl fld="10" item="42"/>
          <tpl hier="64" item="0"/>
        </tpls>
      </n>
      <n v="48785808.390000001" in="0">
        <tpls c="4">
          <tpl fld="7" item="1"/>
          <tpl fld="8" item="0"/>
          <tpl fld="10" item="31"/>
          <tpl hier="64" item="0"/>
        </tpls>
      </n>
      <n v="45519706.850000001" in="0">
        <tpls c="4">
          <tpl fld="7" item="1"/>
          <tpl fld="8" item="0"/>
          <tpl fld="10" item="63"/>
          <tpl hier="64" item="0"/>
        </tpls>
      </n>
      <n v="972819.77" in="0">
        <tpls c="4">
          <tpl fld="7" item="1"/>
          <tpl fld="8" item="0"/>
          <tpl fld="10" item="77"/>
          <tpl hier="64" item="0"/>
        </tpls>
      </n>
      <n v="-3.2684965844964609E-13" in="0">
        <tpls c="4">
          <tpl fld="7" item="0"/>
          <tpl fld="8" item="5"/>
          <tpl fld="10" item="48"/>
          <tpl hier="64" item="0"/>
        </tpls>
      </n>
      <n v="946378.91" in="0">
        <tpls c="4">
          <tpl fld="7" item="1"/>
          <tpl fld="8" item="0"/>
          <tpl fld="10" item="70"/>
          <tpl hier="64" item="0"/>
        </tpls>
      </n>
      <n v="102584867.97999999" in="0">
        <tpls c="5">
          <tpl fld="1" item="5"/>
          <tpl fld="7" item="1"/>
          <tpl fld="8" item="0"/>
          <tpl hier="60" item="4294967295"/>
          <tpl hier="64" item="0"/>
        </tpls>
      </n>
      <n v="0" in="0">
        <tpls c="4">
          <tpl fld="7" item="0"/>
          <tpl fld="8" item="0"/>
          <tpl fld="10" item="16"/>
          <tpl hier="64" item="0"/>
        </tpls>
      </n>
      <n v="2841485.7399999998" in="0">
        <tpls c="4">
          <tpl fld="7" item="1"/>
          <tpl fld="8" item="5"/>
          <tpl fld="10" item="39"/>
          <tpl hier="64" item="0"/>
        </tpls>
      </n>
      <n v="90382198.000000015" in="0">
        <tpls c="4">
          <tpl fld="7" item="0"/>
          <tpl fld="8" item="0"/>
          <tpl fld="10" item="90"/>
          <tpl hier="64" item="0"/>
        </tpls>
      </n>
      <n v="914755388.13000107" in="0">
        <tpls c="5">
          <tpl fld="1" item="19"/>
          <tpl fld="7" item="1"/>
          <tpl fld="8" item="0"/>
          <tpl hier="60" item="4294967295"/>
          <tpl hier="64" item="0"/>
        </tpls>
      </n>
      <n v="59" in="1">
        <tpls c="4">
          <tpl fld="7" item="0"/>
          <tpl fld="8" item="3"/>
          <tpl fld="10" item="87"/>
          <tpl hier="64" item="0"/>
        </tpls>
      </n>
      <n v="7979018.6399999997" in="0">
        <tpls c="4">
          <tpl fld="7" item="1"/>
          <tpl fld="8" item="5"/>
          <tpl fld="10" item="30"/>
          <tpl hier="64" item="0"/>
        </tpls>
      </n>
      <n v="34900" in="1">
        <tpls c="4">
          <tpl fld="7" item="0"/>
          <tpl fld="8" item="3"/>
          <tpl fld="10" item="63"/>
          <tpl hier="64" item="0"/>
        </tpls>
      </n>
      <n v="17" in="1">
        <tpls c="4">
          <tpl fld="7" item="0"/>
          <tpl fld="8" item="4"/>
          <tpl fld="10" item="97"/>
          <tpl hier="64" item="0"/>
        </tpls>
      </n>
      <n v="12201102.609999999" in="0">
        <tpls c="4">
          <tpl fld="7" item="1"/>
          <tpl fld="8" item="0"/>
          <tpl fld="10" item="57"/>
          <tpl hier="64" item="0"/>
        </tpls>
      </n>
      <n v="3366" in="1">
        <tpls c="4">
          <tpl fld="7" item="0"/>
          <tpl fld="8" item="4"/>
          <tpl fld="10" item="6"/>
          <tpl hier="64" item="0"/>
        </tpls>
      </n>
      <n v="758" in="1">
        <tpls c="4">
          <tpl fld="7" item="1"/>
          <tpl fld="8" item="3"/>
          <tpl fld="10" item="83"/>
          <tpl hier="64" item="0"/>
        </tpls>
      </n>
      <n v="14943448.68" in="0">
        <tpls c="4">
          <tpl fld="7" item="0"/>
          <tpl fld="8" item="0"/>
          <tpl fld="10" item="76"/>
          <tpl hier="64" item="0"/>
        </tpls>
      </n>
      <n v="4" in="1">
        <tpls c="4">
          <tpl fld="7" item="1"/>
          <tpl fld="8" item="4"/>
          <tpl fld="10" item="48"/>
          <tpl hier="64" item="0"/>
        </tpls>
      </n>
      <n v="27" in="1">
        <tpls c="4">
          <tpl fld="7" item="0"/>
          <tpl fld="8" item="4"/>
          <tpl fld="10" item="77"/>
          <tpl hier="64" item="0"/>
        </tpls>
      </n>
      <n v="14659" in="1">
        <tpls c="5">
          <tpl fld="1" item="9"/>
          <tpl fld="7" item="1"/>
          <tpl fld="8" item="3"/>
          <tpl hier="54" item="4294967295"/>
          <tpl hier="64" item="0"/>
        </tpls>
      </n>
      <n v="2588545.46" in="0">
        <tpls c="4">
          <tpl fld="7" item="0"/>
          <tpl fld="8" item="0"/>
          <tpl fld="10" item="87"/>
          <tpl hier="64" item="0"/>
        </tpls>
      </n>
      <n v="24916788.790000003" in="0">
        <tpls c="4">
          <tpl fld="7" item="0"/>
          <tpl fld="8" item="0"/>
          <tpl fld="10" item="13"/>
          <tpl hier="64" item="0"/>
        </tpls>
      </n>
      <n v="269121366.01999992" in="0">
        <tpls c="5">
          <tpl fld="1" item="21"/>
          <tpl fld="7" item="1"/>
          <tpl fld="8" item="0"/>
          <tpl hier="60" item="4294967295"/>
          <tpl hier="64" item="0"/>
        </tpls>
      </n>
      <n v="43" in="1">
        <tpls c="4">
          <tpl fld="7" item="0"/>
          <tpl fld="8" item="3"/>
          <tpl fld="10" item="66"/>
          <tpl hier="64" item="0"/>
        </tpls>
      </n>
      <n v="16515003.970000003" in="0">
        <tpls c="4">
          <tpl fld="7" item="1"/>
          <tpl fld="8" item="5"/>
          <tpl fld="10" item="52"/>
          <tpl hier="64" item="0"/>
        </tpls>
      </n>
      <n v="115" in="1">
        <tpls c="4">
          <tpl fld="7" item="1"/>
          <tpl fld="8" item="3"/>
          <tpl fld="3" item="20"/>
          <tpl hier="64" item="0"/>
        </tpls>
      </n>
      <n v="1494" in="1">
        <tpls c="4">
          <tpl fld="7" item="0"/>
          <tpl fld="8" item="4"/>
          <tpl fld="10" item="63"/>
          <tpl hier="64" item="0"/>
        </tpls>
      </n>
      <n v="100" in="1">
        <tpls c="4">
          <tpl fld="7" item="0"/>
          <tpl fld="8" item="3"/>
          <tpl fld="10" item="77"/>
          <tpl hier="64" item="0"/>
        </tpls>
      </n>
      <n v="69037.59" in="0">
        <tpls c="4">
          <tpl fld="7" item="0"/>
          <tpl fld="8" item="5"/>
          <tpl fld="10" item="69"/>
          <tpl hier="64" item="0"/>
        </tpls>
      </n>
      <n v="11208833.9" in="0">
        <tpls c="4">
          <tpl fld="7" item="0"/>
          <tpl fld="8" item="0"/>
          <tpl fld="10" item="57"/>
          <tpl hier="64" item="0"/>
        </tpls>
      </n>
      <n v="689138.3899999999" in="0">
        <tpls c="4">
          <tpl fld="7" item="0"/>
          <tpl fld="8" item="0"/>
          <tpl fld="10" item="53"/>
          <tpl hier="64" item="0"/>
        </tpls>
      </n>
      <n v="15453669" in="1">
        <tpls c="1">
          <tpl fld="8" item="4"/>
        </tpls>
      </n>
      <n v="675" in="1">
        <tpls c="4">
          <tpl fld="7" item="1"/>
          <tpl fld="8" item="3"/>
          <tpl fld="10" item="81"/>
          <tpl hier="64" item="0"/>
        </tpls>
      </n>
      <n v="413039.77" in="0">
        <tpls c="4">
          <tpl fld="7" item="1"/>
          <tpl fld="8" item="5"/>
          <tpl fld="10" item="97"/>
          <tpl hier="64" item="0"/>
        </tpls>
      </n>
      <n v="155920.86999999997" in="0">
        <tpls c="4">
          <tpl fld="7" item="1"/>
          <tpl fld="8" item="5"/>
          <tpl fld="10" item="53"/>
          <tpl hier="64" item="0"/>
        </tpls>
      </n>
      <n v="11488589.050000001" in="0">
        <tpls c="4">
          <tpl fld="7" item="0"/>
          <tpl fld="8" item="0"/>
          <tpl fld="10" item="27"/>
          <tpl hier="64" item="0"/>
        </tpls>
      </n>
      <n v="13886565.510000002" in="0">
        <tpls c="5">
          <tpl fld="1" item="0"/>
          <tpl fld="7" item="1"/>
          <tpl fld="8" item="0"/>
          <tpl hier="60" item="4294967295"/>
          <tpl hier="64" item="0"/>
        </tpls>
      </n>
      <n v="1757816.2499999998" in="0">
        <tpls c="4">
          <tpl fld="7" item="0"/>
          <tpl fld="8" item="5"/>
          <tpl fld="10" item="99"/>
          <tpl hier="64" item="0"/>
        </tpls>
      </n>
      <n v="0" in="0">
        <tpls c="5">
          <tpl fld="1" item="4"/>
          <tpl fld="7" item="1"/>
          <tpl fld="8" item="0"/>
          <tpl fld="9" item="1"/>
          <tpl hier="64" item="0"/>
        </tpls>
      </n>
      <n v="8121684.299999998" in="0">
        <tpls c="4">
          <tpl fld="7" item="1"/>
          <tpl fld="8" item="5"/>
          <tpl fld="10" item="14"/>
          <tpl hier="64" item="0"/>
        </tpls>
      </n>
      <n v="6933068924.7300034" in="0">
        <tpls c="5">
          <tpl hier="22" item="4294967295"/>
          <tpl fld="7" item="1"/>
          <tpl fld="8" item="0"/>
          <tpl hier="60" item="4294967295"/>
          <tpl hier="64" item="0"/>
        </tpls>
      </n>
      <n v="14659" in="1">
        <tpls c="5">
          <tpl fld="1" item="9"/>
          <tpl fld="7" item="1"/>
          <tpl fld="8" item="3"/>
          <tpl fld="2" item="1"/>
          <tpl hier="64" item="0"/>
        </tpls>
      </n>
      <n v="5867004.3999999985" in="0">
        <tpls c="4">
          <tpl fld="7" item="0"/>
          <tpl fld="8" item="5"/>
          <tpl fld="10" item="18"/>
          <tpl hier="64" item="0"/>
        </tpls>
      </n>
      <n v="20220929.419999998" in="0">
        <tpls c="4">
          <tpl fld="7" item="1"/>
          <tpl fld="8" item="0"/>
          <tpl fld="10" item="72"/>
          <tpl hier="64" item="0"/>
        </tpls>
      </n>
      <n v="6933068924.7300034" in="0">
        <tpls c="4">
          <tpl fld="7" item="1"/>
          <tpl fld="8" item="0"/>
          <tpl hier="54" item="4294967295"/>
          <tpl hier="64" item="0"/>
        </tpls>
      </n>
      <n v="56751" in="1">
        <tpls c="4">
          <tpl fld="7" item="1"/>
          <tpl fld="8" item="4"/>
          <tpl fld="3" item="6"/>
          <tpl hier="64" item="0"/>
        </tpls>
      </n>
      <n v="2454653.09" in="0">
        <tpls c="4">
          <tpl fld="7" item="1"/>
          <tpl fld="8" item="5"/>
          <tpl fld="10" item="102"/>
          <tpl hier="64" item="0"/>
        </tpls>
      </n>
      <n v="216754" in="1">
        <tpls c="5">
          <tpl fld="1" item="16"/>
          <tpl fld="7" item="1"/>
          <tpl fld="8" item="3"/>
          <tpl hier="54" item="4294967295"/>
          <tpl hier="64" item="0"/>
        </tpls>
      </n>
      <n v="11215073.23" in="0">
        <tpls c="4">
          <tpl fld="7" item="1"/>
          <tpl fld="8" item="0"/>
          <tpl fld="10" item="27"/>
          <tpl hier="64" item="0"/>
        </tpls>
      </n>
      <n v="566165.30999999994" in="0">
        <tpls c="4">
          <tpl fld="7" item="1"/>
          <tpl fld="8" item="5"/>
          <tpl fld="10" item="85"/>
          <tpl hier="64" item="0"/>
        </tpls>
      </n>
      <n v="64595" in="1">
        <tpls c="5">
          <tpl fld="1" item="12"/>
          <tpl fld="7" item="1"/>
          <tpl fld="8" item="3"/>
          <tpl fld="2" item="1"/>
          <tpl hier="64" item="0"/>
        </tpls>
      </n>
      <n v="192040299.47999996" in="0">
        <tpls c="5">
          <tpl fld="1" item="3"/>
          <tpl fld="7" item="1"/>
          <tpl fld="8" item="0"/>
          <tpl fld="9" item="1"/>
          <tpl hier="64" item="0"/>
        </tpls>
      </n>
      <n v="1966823" in="1">
        <tpls c="5">
          <tpl fld="1" item="25"/>
          <tpl fld="7" item="1"/>
          <tpl fld="8" item="3"/>
          <tpl hier="54" item="4294967295"/>
          <tpl hier="64" item="0"/>
        </tpls>
      </n>
      <n v="209" in="1">
        <tpls c="4">
          <tpl fld="7" item="0"/>
          <tpl fld="8" item="4"/>
          <tpl fld="10" item="46"/>
          <tpl hier="64" item="0"/>
        </tpls>
      </n>
      <n v="520" in="1">
        <tpls c="4">
          <tpl fld="7" item="1"/>
          <tpl fld="8" item="3"/>
          <tpl fld="3" item="21"/>
          <tpl hier="64" item="0"/>
        </tpls>
      </n>
      <n v="64595" in="1">
        <tpls c="5">
          <tpl fld="1" item="12"/>
          <tpl fld="7" item="1"/>
          <tpl fld="8" item="3"/>
          <tpl hier="54" item="4294967295"/>
          <tpl hier="64" item="0"/>
        </tpls>
      </n>
      <n v="0" in="1">
        <tpls c="4">
          <tpl fld="7" item="1"/>
          <tpl fld="8" item="4"/>
          <tpl fld="3" item="18"/>
          <tpl hier="64" item="0"/>
        </tpls>
      </n>
      <n v="19467" in="1">
        <tpls c="4">
          <tpl fld="7" item="1"/>
          <tpl fld="8" item="4"/>
          <tpl fld="3" item="11"/>
          <tpl hier="64" item="0"/>
        </tpls>
      </n>
      <n v="117" in="1">
        <tpls c="4">
          <tpl fld="7" item="0"/>
          <tpl fld="8" item="3"/>
          <tpl fld="10" item="39"/>
          <tpl hier="64" item="0"/>
        </tpls>
      </n>
      <n v="206" in="1">
        <tpls c="4">
          <tpl fld="7" item="0"/>
          <tpl fld="8" item="3"/>
          <tpl fld="10" item="7"/>
          <tpl hier="64" item="0"/>
        </tpls>
      </n>
      <n v="465554" in="1">
        <tpls c="4">
          <tpl fld="7" item="1"/>
          <tpl fld="8" item="3"/>
          <tpl fld="3" item="3"/>
          <tpl hier="64" item="0"/>
        </tpls>
      </n>
      <n v="173275745.82999995" in="0">
        <tpls c="4">
          <tpl fld="7" item="1"/>
          <tpl fld="8" item="0"/>
          <tpl fld="10" item="12"/>
          <tpl hier="64" item="0"/>
        </tpls>
      </n>
      <m>
        <tpls c="5">
          <tpl fld="1" item="5"/>
          <tpl fld="7" item="1"/>
          <tpl fld="8" item="3"/>
          <tpl fld="2" item="1"/>
          <tpl hier="64" item="0"/>
        </tpls>
      </m>
      <n v="0" in="1">
        <tpls c="4">
          <tpl fld="7" item="0"/>
          <tpl fld="8" item="3"/>
          <tpl fld="10" item="36"/>
          <tpl hier="64" item="0"/>
        </tpls>
      </n>
      <n v="2451" in="1">
        <tpls c="4">
          <tpl fld="7" item="0"/>
          <tpl fld="8" item="4"/>
          <tpl fld="10" item="3"/>
          <tpl hier="64" item="0"/>
        </tpls>
      </n>
      <n v="12720369.530000003" in="0">
        <tpls c="4">
          <tpl fld="7" item="0"/>
          <tpl fld="8" item="0"/>
          <tpl fld="10" item="75"/>
          <tpl hier="64" item="0"/>
        </tpls>
      </n>
      <n v="97" in="1">
        <tpls c="4">
          <tpl fld="7" item="1"/>
          <tpl fld="8" item="3"/>
          <tpl fld="10" item="39"/>
          <tpl hier="64" item="0"/>
        </tpls>
      </n>
      <n v="55" in="1">
        <tpls c="4">
          <tpl fld="7" item="0"/>
          <tpl fld="8" item="4"/>
          <tpl fld="10" item="70"/>
          <tpl hier="64" item="0"/>
        </tpls>
      </n>
      <n v="489830366.05000001" in="0">
        <tpls c="4">
          <tpl fld="7" item="1"/>
          <tpl fld="8" item="0"/>
          <tpl fld="10" item="28"/>
          <tpl hier="64" item="0"/>
        </tpls>
      </n>
      <n v="141249" in="1">
        <tpls c="5">
          <tpl fld="1" item="13"/>
          <tpl fld="7" item="1"/>
          <tpl fld="8" item="3"/>
          <tpl fld="2" item="0"/>
          <tpl hier="64" item="0"/>
        </tpls>
      </n>
      <n v="263548.84000000003" in="0">
        <tpls c="4">
          <tpl fld="7" item="0"/>
          <tpl fld="8" item="5"/>
          <tpl fld="10" item="35"/>
          <tpl hier="64" item="0"/>
        </tpls>
      </n>
      <n v="143861" in="1">
        <tpls c="4">
          <tpl fld="7" item="1"/>
          <tpl fld="8" item="3"/>
          <tpl fld="10" item="12"/>
          <tpl hier="64" item="0"/>
        </tpls>
      </n>
      <n v="1434829" in="1">
        <tpls c="5">
          <tpl hier="22" item="4294967295"/>
          <tpl fld="7" item="1"/>
          <tpl fld="8" item="3"/>
          <tpl fld="2" item="1"/>
          <tpl hier="64" item="0"/>
        </tpls>
      </n>
      <n v="70590061.370000005" in="0">
        <tpls c="4">
          <tpl fld="7" item="0"/>
          <tpl fld="8" item="5"/>
          <tpl fld="10" item="47"/>
          <tpl hier="64" item="0"/>
        </tpls>
      </n>
      <n v="4367940.709999999" in="0">
        <tpls c="4">
          <tpl fld="7" item="0"/>
          <tpl fld="8" item="0"/>
          <tpl fld="10" item="35"/>
          <tpl hier="64" item="0"/>
        </tpls>
      </n>
      <n v="483146510.13999999" in="0">
        <tpls c="4">
          <tpl fld="7" item="1"/>
          <tpl fld="8" item="0"/>
          <tpl fld="3" item="11"/>
          <tpl hier="64" item="0"/>
        </tpls>
      </n>
      <n v="571684244.05000007" in="0">
        <tpls c="5">
          <tpl fld="1" item="19"/>
          <tpl fld="7" item="1"/>
          <tpl fld="8" item="0"/>
          <tpl fld="9" item="0"/>
          <tpl hier="64" item="0"/>
        </tpls>
      </n>
      <n v="2264" in="1">
        <tpls c="4">
          <tpl fld="7" item="0"/>
          <tpl fld="8" item="4"/>
          <tpl fld="10" item="52"/>
          <tpl hier="64" item="0"/>
        </tpls>
      </n>
      <n v="452" in="1">
        <tpls c="4">
          <tpl fld="7" item="1"/>
          <tpl fld="8" item="4"/>
          <tpl fld="10" item="31"/>
          <tpl hier="64" item="0"/>
        </tpls>
      </n>
      <n v="5120216547.000001" in="0">
        <tpls c="5">
          <tpl hier="22" item="4294967295"/>
          <tpl fld="7" item="1"/>
          <tpl fld="8" item="0"/>
          <tpl fld="9" item="0"/>
          <tpl hier="64" item="0"/>
        </tpls>
      </n>
      <n v="4517081.0299999993" in="0">
        <tpls c="4">
          <tpl fld="7" item="1"/>
          <tpl fld="8" item="0"/>
          <tpl fld="3" item="21"/>
          <tpl hier="64" item="0"/>
        </tpls>
      </n>
      <n v="1250313.8" in="0">
        <tpls c="4">
          <tpl fld="7" item="0"/>
          <tpl fld="8" item="5"/>
          <tpl fld="10" item="105"/>
          <tpl hier="64" item="0"/>
        </tpls>
      </n>
      <n v="189" in="1">
        <tpls c="4">
          <tpl fld="7" item="1"/>
          <tpl fld="8" item="4"/>
          <tpl fld="3" item="20"/>
          <tpl hier="64" item="0"/>
        </tpls>
      </n>
      <n v="1101010.1100000001" in="0">
        <tpls c="4">
          <tpl fld="7" item="0"/>
          <tpl fld="8" item="5"/>
          <tpl fld="10" item="59"/>
          <tpl hier="64" item="0"/>
        </tpls>
      </n>
      <n v="1969" in="1">
        <tpls c="4">
          <tpl fld="7" item="0"/>
          <tpl fld="8" item="4"/>
          <tpl fld="10" item="5"/>
          <tpl hier="64" item="0"/>
        </tpls>
      </n>
      <n v="0" in="1">
        <tpls c="5">
          <tpl fld="1" item="10"/>
          <tpl fld="7" item="1"/>
          <tpl fld="8" item="3"/>
          <tpl fld="2" item="0"/>
          <tpl hier="64" item="0"/>
        </tpls>
      </n>
      <n v="1940011.87" in="0">
        <tpls c="4">
          <tpl fld="7" item="1"/>
          <tpl fld="8" item="0"/>
          <tpl fld="10" item="7"/>
          <tpl hier="64" item="0"/>
        </tpls>
      </n>
      <n v="2930" in="1">
        <tpls c="5">
          <tpl fld="1" item="18"/>
          <tpl fld="7" item="1"/>
          <tpl fld="8" item="3"/>
          <tpl fld="2" item="0"/>
          <tpl hier="64" item="0"/>
        </tpls>
      </n>
      <n v="25049949.250000004" in="0">
        <tpls c="4">
          <tpl fld="7" item="1"/>
          <tpl fld="8" item="0"/>
          <tpl fld="10" item="18"/>
          <tpl hier="64" item="0"/>
        </tpls>
      </n>
      <n v="3680538.8" in="0">
        <tpls c="4">
          <tpl fld="7" item="1"/>
          <tpl fld="8" item="0"/>
          <tpl fld="10" item="45"/>
          <tpl hier="64" item="0"/>
        </tpls>
      </n>
      <n v="5080761.99" in="0">
        <tpls c="4">
          <tpl fld="7" item="1"/>
          <tpl fld="8" item="5"/>
          <tpl fld="10" item="76"/>
          <tpl hier="64" item="0"/>
        </tpls>
      </n>
      <n v="8470320.4199999999" in="0">
        <tpls c="4">
          <tpl fld="7" item="0"/>
          <tpl fld="8" item="5"/>
          <tpl fld="10" item="14"/>
          <tpl hier="64" item="0"/>
        </tpls>
      </n>
      <n v="3312149.94" in="0">
        <tpls c="4">
          <tpl fld="7" item="0"/>
          <tpl fld="8" item="5"/>
          <tpl fld="10" item="79"/>
          <tpl hier="64" item="0"/>
        </tpls>
      </n>
      <n v="5177" in="1">
        <tpls c="4">
          <tpl fld="7" item="1"/>
          <tpl fld="8" item="3"/>
          <tpl fld="10" item="1"/>
          <tpl hier="64" item="0"/>
        </tpls>
      </n>
      <n v="0" in="1">
        <tpls c="4">
          <tpl fld="7" item="0"/>
          <tpl fld="8" item="4"/>
          <tpl fld="10" item="24"/>
          <tpl hier="64" item="0"/>
        </tpls>
      </n>
      <n v="1384" in="1">
        <tpls c="4">
          <tpl fld="7" item="0"/>
          <tpl fld="8" item="4"/>
          <tpl fld="10" item="18"/>
          <tpl hier="64" item="0"/>
        </tpls>
      </n>
      <n v="48" in="1">
        <tpls c="4">
          <tpl fld="7" item="0"/>
          <tpl fld="8" item="3"/>
          <tpl fld="10" item="11"/>
          <tpl hier="64" item="0"/>
        </tpls>
      </n>
      <n v="4325922.18" in="0">
        <tpls c="4">
          <tpl fld="7" item="1"/>
          <tpl fld="8" item="0"/>
          <tpl fld="10" item="42"/>
          <tpl hier="64" item="0"/>
        </tpls>
      </n>
      <n v="3520408.7200000007" in="0">
        <tpls c="4">
          <tpl fld="7" item="1"/>
          <tpl fld="8" item="0"/>
          <tpl fld="10" item="43"/>
          <tpl hier="64" item="0"/>
        </tpls>
      </n>
      <n v="6206190.1799999997" in="0">
        <tpls c="4">
          <tpl fld="7" item="1"/>
          <tpl fld="8" item="5"/>
          <tpl fld="10" item="6"/>
          <tpl hier="64" item="0"/>
        </tpls>
      </n>
      <n v="48" in="1">
        <tpls c="4">
          <tpl fld="7" item="1"/>
          <tpl fld="8" item="4"/>
          <tpl fld="10" item="70"/>
          <tpl hier="64" item="0"/>
        </tpls>
      </n>
      <n v="150081.1" in="0">
        <tpls c="4">
          <tpl fld="7" item="1"/>
          <tpl fld="8" item="5"/>
          <tpl fld="10" item="34"/>
          <tpl hier="64" item="0"/>
        </tpls>
      </n>
      <n v="6081087.2499999991" in="0">
        <tpls c="4">
          <tpl fld="7" item="0"/>
          <tpl fld="8" item="0"/>
          <tpl fld="10" item="39"/>
          <tpl hier="64" item="0"/>
        </tpls>
      </n>
      <n v="4930925.83" in="0">
        <tpls c="4">
          <tpl fld="7" item="0"/>
          <tpl fld="8" item="5"/>
          <tpl fld="10" item="46"/>
          <tpl hier="64" item="0"/>
        </tpls>
      </n>
      <n v="15" in="1">
        <tpls c="4">
          <tpl fld="7" item="0"/>
          <tpl fld="8" item="4"/>
          <tpl fld="10" item="85"/>
          <tpl hier="64" item="0"/>
        </tpls>
      </n>
      <n v="8183758.0300000003" in="0">
        <tpls c="4">
          <tpl fld="7" item="1"/>
          <tpl fld="8" item="0"/>
          <tpl fld="10" item="20"/>
          <tpl hier="64" item="0"/>
        </tpls>
      </n>
      <n v="141249" in="1">
        <tpls c="5">
          <tpl fld="1" item="13"/>
          <tpl fld="7" item="1"/>
          <tpl fld="8" item="3"/>
          <tpl hier="54" item="4294967295"/>
          <tpl hier="64" item="0"/>
        </tpls>
      </n>
      <n v="566397336.58999979" in="0">
        <tpls c="4">
          <tpl fld="7" item="1"/>
          <tpl fld="8" item="0"/>
          <tpl fld="3" item="3"/>
          <tpl hier="64" item="0"/>
        </tpls>
      </n>
      <n v="16286938.850000001" in="0">
        <tpls c="4">
          <tpl fld="7" item="0"/>
          <tpl fld="8" item="5"/>
          <tpl fld="10" item="89"/>
          <tpl hier="64" item="0"/>
        </tpls>
      </n>
      <n v="3153" in="1">
        <tpls c="4">
          <tpl fld="7" item="1"/>
          <tpl fld="8" item="3"/>
          <tpl fld="10" item="51"/>
          <tpl hier="64" item="0"/>
        </tpls>
      </n>
      <n v="0" in="1">
        <tpls c="5">
          <tpl fld="1" item="1"/>
          <tpl fld="7" item="1"/>
          <tpl fld="8" item="3"/>
          <tpl fld="2" item="1"/>
          <tpl hier="64" item="0"/>
        </tpls>
      </n>
      <n v="1527786" in="1">
        <tpls c="4">
          <tpl fld="7" item="0"/>
          <tpl fld="8" item="3"/>
          <tpl fld="10" item="94"/>
          <tpl hier="64" item="0"/>
        </tpls>
      </n>
      <n v="512957" in="1">
        <tpls c="4">
          <tpl fld="7" item="0"/>
          <tpl fld="8" item="3"/>
          <tpl fld="10" item="62"/>
          <tpl hier="64" item="0"/>
        </tpls>
      </n>
      <n v="32850" in="1">
        <tpls c="5">
          <tpl fld="1" item="5"/>
          <tpl fld="7" item="1"/>
          <tpl fld="8" item="3"/>
          <tpl hier="54" item="4294967295"/>
          <tpl hier="64" item="0"/>
        </tpls>
      </n>
      <n v="1" in="1">
        <tpls c="4">
          <tpl fld="7" item="0"/>
          <tpl fld="8" item="4"/>
          <tpl fld="10" item="4"/>
          <tpl hier="64" item="0"/>
        </tpls>
      </n>
      <n v="5370" in="1">
        <tpls c="4">
          <tpl fld="7" item="1"/>
          <tpl fld="8" item="4"/>
          <tpl fld="10" item="14"/>
          <tpl hier="64" item="0"/>
        </tpls>
      </n>
      <n v="658" in="1">
        <tpls c="4">
          <tpl fld="7" item="1"/>
          <tpl fld="8" item="4"/>
          <tpl fld="10" item="30"/>
          <tpl hier="64" item="0"/>
        </tpls>
      </n>
      <n v="8870708.0600000005" in="0">
        <tpls c="4">
          <tpl fld="7" item="0"/>
          <tpl fld="8" item="0"/>
          <tpl fld="10" item="5"/>
          <tpl hier="64" item="0"/>
        </tpls>
      </n>
      <n v="1626127612.8999999" in="0">
        <tpls c="2">
          <tpl fld="8" item="0"/>
          <tpl fld="10" item="63"/>
        </tpls>
      </n>
      <n v="0" in="0">
        <tpls c="2">
          <tpl fld="8" item="0"/>
          <tpl fld="3" item="1"/>
        </tpls>
      </n>
      <n v="2321" in="1">
        <tpls c="4">
          <tpl fld="7" item="1"/>
          <tpl fld="8" item="4"/>
          <tpl fld="10" item="52"/>
          <tpl hier="64" item="0"/>
        </tpls>
      </n>
      <n v="357878929.65999997" in="0">
        <tpls c="4">
          <tpl fld="7" item="1"/>
          <tpl fld="8" item="0"/>
          <tpl fld="3" item="5"/>
          <tpl hier="64" item="0"/>
        </tpls>
      </n>
      <n v="397139" in="1">
        <tpls c="4">
          <tpl fld="7" item="1"/>
          <tpl fld="8" item="3"/>
          <tpl fld="3" item="11"/>
          <tpl hier="64" item="0"/>
        </tpls>
      </n>
      <n v="0" in="1">
        <tpls c="4">
          <tpl fld="7" item="0"/>
          <tpl fld="8" item="4"/>
          <tpl fld="10" item="58"/>
          <tpl hier="64" item="0"/>
        </tpls>
      </n>
      <n v="3413551.72" in="0">
        <tpls c="4">
          <tpl fld="7" item="0"/>
          <tpl fld="8" item="5"/>
          <tpl fld="10" item="57"/>
          <tpl hier="64" item="0"/>
        </tpls>
      </n>
      <n v="20762.82" in="0">
        <tpls c="4">
          <tpl fld="7" item="0"/>
          <tpl fld="8" item="5"/>
          <tpl fld="10" item="53"/>
          <tpl hier="64" item="0"/>
        </tpls>
      </n>
      <m>
        <tpls c="5">
          <tpl fld="1" item="18"/>
          <tpl fld="7" item="1"/>
          <tpl fld="8" item="3"/>
          <tpl fld="2" item="1"/>
          <tpl hier="64" item="0"/>
        </tpls>
      </m>
      <n v="44" in="1">
        <tpls c="5">
          <tpl fld="1" item="15"/>
          <tpl fld="7" item="1"/>
          <tpl fld="8" item="3"/>
          <tpl hier="54" item="4294967295"/>
          <tpl hier="64" item="0"/>
        </tpls>
      </n>
      <m>
        <tpls c="5">
          <tpl fld="1" item="5"/>
          <tpl fld="7" item="1"/>
          <tpl fld="8" item="0"/>
          <tpl fld="9" item="1"/>
          <tpl hier="64" item="0"/>
        </tpls>
      </m>
      <n v="18660559.780000001" in="0">
        <tpls c="4">
          <tpl fld="7" item="0"/>
          <tpl fld="8" item="5"/>
          <tpl fld="10" item="108"/>
          <tpl hier="64" item="0"/>
        </tpls>
      </n>
      <n v="0" in="1">
        <tpls c="4">
          <tpl fld="7" item="0"/>
          <tpl fld="8" item="4"/>
          <tpl fld="10" item="15"/>
          <tpl hier="64" item="0"/>
        </tpls>
      </n>
      <n v="25300" in="1">
        <tpls c="4">
          <tpl fld="7" item="1"/>
          <tpl fld="8" item="3"/>
          <tpl fld="10" item="74"/>
          <tpl hier="64" item="0"/>
        </tpls>
      </n>
      <n v="8252" in="1">
        <tpls c="4">
          <tpl fld="7" item="0"/>
          <tpl fld="8" item="3"/>
          <tpl fld="10" item="38"/>
          <tpl hier="64" item="0"/>
        </tpls>
      </n>
      <n v="13760766.84" in="0">
        <tpls c="4">
          <tpl fld="7" item="1"/>
          <tpl fld="8" item="0"/>
          <tpl fld="10" item="75"/>
          <tpl hier="64" item="0"/>
        </tpls>
      </n>
      <n v="11015176.749999998" in="0">
        <tpls c="5">
          <tpl fld="1" item="9"/>
          <tpl fld="7" item="1"/>
          <tpl fld="8" item="0"/>
          <tpl hier="60" item="4294967295"/>
          <tpl hier="64" item="0"/>
        </tpls>
      </n>
      <n v="14514105.979999997" in="0">
        <tpls c="4">
          <tpl fld="7" item="1"/>
          <tpl fld="8" item="0"/>
          <tpl fld="10" item="76"/>
          <tpl hier="64" item="0"/>
        </tpls>
      </n>
      <n v="178454.38" in="0">
        <tpls c="4">
          <tpl fld="7" item="0"/>
          <tpl fld="8" item="0"/>
          <tpl fld="10" item="40"/>
          <tpl hier="64" item="0"/>
        </tpls>
      </n>
      <n v="143755863420.17007" in="0">
        <tpls c="2">
          <tpl fld="8" item="0"/>
          <tpl fld="2" item="0"/>
        </tpls>
      </n>
      <n v="5367198.6500000004" in="0">
        <tpls c="4">
          <tpl fld="7" item="1"/>
          <tpl fld="8" item="0"/>
          <tpl fld="10" item="91"/>
          <tpl hier="64" item="0"/>
        </tpls>
      </n>
      <n v="40435725.489999995" in="0">
        <tpls c="4">
          <tpl fld="7" item="0"/>
          <tpl fld="8" item="0"/>
          <tpl fld="10" item="3"/>
          <tpl hier="64" item="0"/>
        </tpls>
      </n>
      <n v="25968" in="1">
        <tpls c="4">
          <tpl fld="7" item="1"/>
          <tpl fld="8" item="3"/>
          <tpl fld="10" item="27"/>
          <tpl hier="64" item="0"/>
        </tpls>
      </n>
      <n v="0" in="0">
        <tpls c="5">
          <tpl fld="1" item="24"/>
          <tpl fld="7" item="1"/>
          <tpl fld="8" item="0"/>
          <tpl fld="9" item="0"/>
          <tpl hier="64" item="0"/>
        </tpls>
      </n>
      <n v="39" in="1">
        <tpls c="4">
          <tpl fld="7" item="1"/>
          <tpl fld="8" item="4"/>
          <tpl fld="10" item="85"/>
          <tpl hier="64" item="0"/>
        </tpls>
      </n>
      <n v="21450023.32" in="0">
        <tpls c="4">
          <tpl fld="7" item="0"/>
          <tpl fld="8" item="5"/>
          <tpl fld="10" item="3"/>
          <tpl hier="64" item="0"/>
        </tpls>
      </n>
      <n v="0" in="1">
        <tpls c="5">
          <tpl fld="1" item="24"/>
          <tpl fld="7" item="1"/>
          <tpl fld="8" item="3"/>
          <tpl fld="2" item="0"/>
          <tpl hier="64" item="0"/>
        </tpls>
      </n>
      <n v="12" in="1">
        <tpls c="4">
          <tpl fld="7" item="1"/>
          <tpl fld="8" item="3"/>
          <tpl fld="10" item="44"/>
          <tpl hier="64" item="0"/>
        </tpls>
      </n>
      <n v="1230" in="1">
        <tpls c="4">
          <tpl fld="7" item="0"/>
          <tpl fld="8" item="4"/>
          <tpl fld="10" item="54"/>
          <tpl hier="64" item="0"/>
        </tpls>
      </n>
      <n v="15722789476.180008" in="0">
        <tpls c="2">
          <tpl fld="8" item="0"/>
          <tpl fld="3" item="3"/>
        </tpls>
      </n>
      <n v="0" in="1">
        <tpls c="4">
          <tpl fld="7" item="0"/>
          <tpl fld="8" item="3"/>
          <tpl fld="10" item="82"/>
          <tpl hier="64" item="0"/>
        </tpls>
      </n>
      <n v="10031192.720000001" in="0">
        <tpls c="5">
          <tpl fld="1" item="24"/>
          <tpl fld="7" item="1"/>
          <tpl fld="8" item="0"/>
          <tpl fld="9" item="1"/>
          <tpl hier="64" item="0"/>
        </tpls>
      </n>
      <n v="24976785.789999999" in="0">
        <tpls c="4">
          <tpl fld="7" item="1"/>
          <tpl fld="8" item="0"/>
          <tpl fld="10" item="37"/>
          <tpl hier="64" item="0"/>
        </tpls>
      </n>
      <n v="9537700.1400000006" in="0">
        <tpls c="4">
          <tpl fld="7" item="0"/>
          <tpl fld="8" item="5"/>
          <tpl fld="10" item="30"/>
          <tpl hier="64" item="0"/>
        </tpls>
      </n>
      <n v="121723708.67999998" in="0">
        <tpls c="4">
          <tpl fld="7" item="1"/>
          <tpl fld="8" item="0"/>
          <tpl fld="10" item="104"/>
          <tpl hier="64" item="0"/>
        </tpls>
      </n>
      <n v="36236294.220000006" in="0">
        <tpls c="4">
          <tpl fld="7" item="1"/>
          <tpl fld="8" item="0"/>
          <tpl fld="3" item="13"/>
          <tpl hier="64" item="0"/>
        </tpls>
      </n>
      <n v="146333" in="1">
        <tpls c="5">
          <tpl fld="1" item="6"/>
          <tpl fld="7" item="1"/>
          <tpl fld="8" item="3"/>
          <tpl fld="2" item="1"/>
          <tpl hier="64" item="0"/>
        </tpls>
      </n>
      <n v="115" in="1">
        <tpls c="4">
          <tpl fld="7" item="1"/>
          <tpl fld="8" item="3"/>
          <tpl fld="10" item="59"/>
          <tpl hier="64" item="0"/>
        </tpls>
      </n>
      <n v="0" in="0">
        <tpls c="4">
          <tpl fld="7" item="0"/>
          <tpl fld="8" item="0"/>
          <tpl fld="10" item="15"/>
          <tpl hier="64" item="0"/>
        </tpls>
      </n>
      <n v="201311750.89000005" in="0">
        <tpls c="2">
          <tpl fld="8" item="0"/>
          <tpl fld="3" item="9"/>
        </tpls>
      </n>
      <n v="2025" in="0">
        <tpls c="4">
          <tpl fld="7" item="0"/>
          <tpl fld="8" item="5"/>
          <tpl fld="10" item="4"/>
          <tpl hier="64" item="0"/>
        </tpls>
      </n>
      <n v="777481" in="1">
        <tpls c="4">
          <tpl fld="7" item="1"/>
          <tpl fld="8" item="3"/>
          <tpl fld="3" item="12"/>
          <tpl hier="64" item="0"/>
        </tpls>
      </n>
      <n v="548759" in="1">
        <tpls c="4">
          <tpl fld="7" item="1"/>
          <tpl fld="8" item="4"/>
          <tpl fld="2" item="0"/>
          <tpl hier="64" item="0"/>
        </tpls>
      </n>
      <n v="138668875.46000004" in="0">
        <tpls c="5">
          <tpl fld="1" item="8"/>
          <tpl fld="7" item="1"/>
          <tpl fld="8" item="0"/>
          <tpl hier="60" item="4294967295"/>
          <tpl hier="64" item="0"/>
        </tpls>
      </n>
      <n v="144323" in="1">
        <tpls c="5">
          <tpl fld="1" item="2"/>
          <tpl fld="7" item="1"/>
          <tpl fld="8" item="3"/>
          <tpl fld="2" item="1"/>
          <tpl hier="64" item="0"/>
        </tpls>
      </n>
      <m>
        <tpls c="5">
          <tpl fld="1" item="9"/>
          <tpl fld="7" item="1"/>
          <tpl fld="8" item="3"/>
          <tpl fld="2" item="0"/>
          <tpl hier="64" item="0"/>
        </tpls>
      </m>
      <n v="120043.37000000001" in="0">
        <tpls c="4">
          <tpl fld="7" item="1"/>
          <tpl fld="8" item="5"/>
          <tpl fld="10" item="11"/>
          <tpl hier="64" item="0"/>
        </tpls>
      </n>
      <n v="1" in="1">
        <tpls c="4">
          <tpl fld="7" item="1"/>
          <tpl fld="8" item="3"/>
          <tpl fld="10" item="15"/>
          <tpl hier="64" item="0"/>
        </tpls>
      </n>
      <n v="0" in="0">
        <tpls c="4">
          <tpl fld="7" item="1"/>
          <tpl fld="8" item="0"/>
          <tpl fld="10" item="16"/>
          <tpl hier="64" item="0"/>
        </tpls>
      </n>
      <n v="1257207.33" in="0">
        <tpls c="4">
          <tpl fld="7" item="1"/>
          <tpl fld="8" item="5"/>
          <tpl fld="10" item="29"/>
          <tpl hier="64" item="0"/>
        </tpls>
      </n>
      <n v="315447" in="1">
        <tpls c="5">
          <tpl fld="1" item="19"/>
          <tpl fld="7" item="1"/>
          <tpl fld="8" item="3"/>
          <tpl fld="2" item="1"/>
          <tpl hier="64" item="0"/>
        </tpls>
      </n>
      <n v="11025" in="1">
        <tpls c="5">
          <tpl fld="1" item="22"/>
          <tpl fld="7" item="1"/>
          <tpl fld="8" item="3"/>
          <tpl fld="2" item="0"/>
          <tpl hier="64" item="0"/>
        </tpls>
      </n>
      <n v="3770538.7900000005" in="0">
        <tpls c="4">
          <tpl fld="7" item="0"/>
          <tpl fld="8" item="0"/>
          <tpl fld="10" item="59"/>
          <tpl hier="64" item="0"/>
        </tpls>
      </n>
      <n v="48887220.859999999" in="0">
        <tpls c="5">
          <tpl fld="1" item="16"/>
          <tpl fld="7" item="1"/>
          <tpl fld="8" item="0"/>
          <tpl fld="9" item="1"/>
          <tpl hier="64" item="0"/>
        </tpls>
      </n>
      <n v="62299" in="1">
        <tpls c="4">
          <tpl fld="7" item="1"/>
          <tpl fld="8" item="4"/>
          <tpl fld="10" item="109"/>
          <tpl hier="64" item="0"/>
        </tpls>
      </n>
      <n v="28250098.420000002" in="0">
        <tpls c="4">
          <tpl fld="7" item="1"/>
          <tpl fld="8" item="5"/>
          <tpl fld="10" item="5"/>
          <tpl hier="64" item="0"/>
        </tpls>
      </n>
      <n v="627" in="1">
        <tpls c="4">
          <tpl fld="7" item="0"/>
          <tpl fld="8" item="4"/>
          <tpl fld="10" item="10"/>
          <tpl hier="64" item="0"/>
        </tpls>
      </n>
      <n v="5459952.1599999992" in="0">
        <tpls c="4">
          <tpl fld="7" item="1"/>
          <tpl fld="8" item="0"/>
          <tpl fld="3" item="17"/>
          <tpl hier="64" item="0"/>
        </tpls>
      </n>
      <m>
        <tpls c="5">
          <tpl fld="1" item="17"/>
          <tpl fld="7" item="1"/>
          <tpl fld="8" item="3"/>
          <tpl fld="2" item="0"/>
          <tpl hier="64" item="0"/>
        </tpls>
      </m>
      <n v="194903254.98000002" in="0">
        <tpls c="4">
          <tpl fld="7" item="1"/>
          <tpl fld="8" item="0"/>
          <tpl fld="3" item="23"/>
          <tpl hier="64" item="0"/>
        </tpls>
      </n>
      <n v="232389470.62999997" in="0">
        <tpls c="5">
          <tpl fld="1" item="16"/>
          <tpl fld="7" item="1"/>
          <tpl fld="8" item="0"/>
          <tpl fld="9" item="0"/>
          <tpl hier="64" item="0"/>
        </tpls>
      </n>
      <n v="111116745.47000001" in="0">
        <tpls c="4">
          <tpl fld="7" item="1"/>
          <tpl fld="8" item="0"/>
          <tpl fld="3" item="8"/>
          <tpl hier="64" item="0"/>
        </tpls>
      </n>
      <n v="0" in="0">
        <tpls c="4">
          <tpl fld="7" item="1"/>
          <tpl fld="8" item="0"/>
          <tpl fld="10" item="36"/>
          <tpl hier="64" item="0"/>
        </tpls>
      </n>
      <n v="32850" in="1">
        <tpls c="5">
          <tpl fld="1" item="5"/>
          <tpl fld="7" item="1"/>
          <tpl fld="8" item="3"/>
          <tpl fld="2" item="0"/>
          <tpl hier="64" item="0"/>
        </tpls>
      </n>
      <n v="1381607.5799999998" in="0">
        <tpls c="5">
          <tpl fld="1" item="18"/>
          <tpl fld="7" item="1"/>
          <tpl fld="8" item="0"/>
          <tpl hier="60" item="4294967295"/>
          <tpl hier="64" item="0"/>
        </tpls>
      </n>
      <n v="0" in="1">
        <tpls c="4">
          <tpl fld="7" item="1"/>
          <tpl fld="8" item="4"/>
          <tpl fld="10" item="68"/>
          <tpl hier="64" item="0"/>
        </tpls>
      </n>
      <n v="134574.84" in="0">
        <tpls c="4">
          <tpl fld="7" item="1"/>
          <tpl fld="8" item="0"/>
          <tpl fld="10" item="40"/>
          <tpl hier="64" item="0"/>
        </tpls>
      </n>
      <n v="2995" in="1">
        <tpls c="4">
          <tpl fld="7" item="1"/>
          <tpl fld="8" item="3"/>
          <tpl fld="10" item="42"/>
          <tpl hier="64" item="0"/>
        </tpls>
      </n>
      <n v="103177344.10000001" in="0">
        <tpls c="2">
          <tpl fld="8" item="0"/>
          <tpl fld="3" item="20"/>
        </tpls>
      </n>
      <n v="32252487.84" in="0">
        <tpls c="2">
          <tpl fld="8" item="0"/>
          <tpl fld="10" item="25"/>
        </tpls>
      </n>
      <n v="1" in="1">
        <tpls c="4">
          <tpl fld="7" item="1"/>
          <tpl fld="8" item="3"/>
          <tpl fld="10" item="0"/>
          <tpl hier="64" item="0"/>
        </tpls>
      </n>
      <n v="70286001.400000006" in="0">
        <tpls c="4">
          <tpl fld="7" item="1"/>
          <tpl fld="8" item="5"/>
          <tpl fld="10" item="107"/>
          <tpl hier="64" item="0"/>
        </tpls>
      </n>
      <n v="114745" in="1">
        <tpls c="5">
          <tpl fld="1" item="4"/>
          <tpl fld="7" item="1"/>
          <tpl fld="8" item="3"/>
          <tpl fld="2" item="0"/>
          <tpl hier="64" item="0"/>
        </tpls>
      </n>
      <n v="33169" in="1">
        <tpls c="4">
          <tpl fld="7" item="1"/>
          <tpl fld="8" item="3"/>
          <tpl fld="3" item="13"/>
          <tpl hier="64" item="0"/>
        </tpls>
      </n>
      <n v="1093" in="1">
        <tpls c="4">
          <tpl fld="7" item="1"/>
          <tpl fld="8" item="4"/>
          <tpl fld="3" item="22"/>
          <tpl hier="64" item="0"/>
        </tpls>
      </n>
      <n v="5962" in="1">
        <tpls c="4">
          <tpl fld="7" item="0"/>
          <tpl fld="8" item="3"/>
          <tpl fld="10" item="35"/>
          <tpl hier="64" item="0"/>
        </tpls>
      </n>
      <n v="4359419.16" in="0">
        <tpls c="4">
          <tpl fld="7" item="1"/>
          <tpl fld="8" item="5"/>
          <tpl fld="10" item="20"/>
          <tpl hier="64" item="0"/>
        </tpls>
      </n>
      <n v="113120412.22000003" in="0">
        <tpls c="5">
          <tpl fld="1" item="12"/>
          <tpl fld="7" item="1"/>
          <tpl fld="8" item="0"/>
          <tpl fld="9" item="1"/>
          <tpl hier="64" item="0"/>
        </tpls>
      </n>
      <n v="60" in="1">
        <tpls c="4">
          <tpl fld="7" item="0"/>
          <tpl fld="8" item="3"/>
          <tpl fld="10" item="29"/>
          <tpl hier="64" item="0"/>
        </tpls>
      </n>
      <n v="2129" in="1">
        <tpls c="4">
          <tpl fld="7" item="0"/>
          <tpl fld="8" item="3"/>
          <tpl fld="10" item="76"/>
          <tpl hier="64" item="0"/>
        </tpls>
      </n>
      <n v="529745" in="1">
        <tpls c="4">
          <tpl fld="7" item="0"/>
          <tpl fld="8" item="3"/>
          <tpl fld="10" item="89"/>
          <tpl hier="64" item="0"/>
        </tpls>
      </n>
      <n v="102584867.97999999" in="0">
        <tpls c="5">
          <tpl fld="1" item="5"/>
          <tpl fld="7" item="1"/>
          <tpl fld="8" item="0"/>
          <tpl fld="9" item="0"/>
          <tpl hier="64" item="0"/>
        </tpls>
      </n>
      <n v="55936545.850000001" in="0">
        <tpls c="4">
          <tpl fld="7" item="1"/>
          <tpl fld="8" item="5"/>
          <tpl fld="10" item="88"/>
          <tpl hier="64" item="0"/>
        </tpls>
      </n>
      <n v="12247208.280000001" in="0">
        <tpls c="4">
          <tpl fld="7" item="1"/>
          <tpl fld="8" item="5"/>
          <tpl fld="10" item="8"/>
          <tpl hier="64" item="0"/>
        </tpls>
      </n>
      <n v="1383452.8699999999" in="0">
        <tpls c="4">
          <tpl fld="7" item="0"/>
          <tpl fld="8" item="5"/>
          <tpl fld="10" item="88"/>
          <tpl hier="64" item="0"/>
        </tpls>
      </n>
      <n v="70553285.640000015" in="0">
        <tpls c="2">
          <tpl fld="8" item="0"/>
          <tpl fld="3" item="18"/>
        </tpls>
      </n>
      <n v="53" in="1">
        <tpls c="4">
          <tpl fld="7" item="1"/>
          <tpl fld="8" item="4"/>
          <tpl fld="10" item="33"/>
          <tpl hier="64" item="0"/>
        </tpls>
      </n>
      <n v="0" in="1">
        <tpls c="4">
          <tpl fld="7" item="0"/>
          <tpl fld="8" item="3"/>
          <tpl fld="10" item="15"/>
          <tpl hier="64" item="0"/>
        </tpls>
      </n>
      <n v="0" in="0">
        <tpls c="5">
          <tpl fld="1" item="8"/>
          <tpl fld="7" item="1"/>
          <tpl fld="8" item="0"/>
          <tpl fld="9" item="0"/>
          <tpl hier="64" item="0"/>
        </tpls>
      </n>
      <n v="11596623.890000001" in="0">
        <tpls c="2">
          <tpl fld="8" item="0"/>
          <tpl fld="10" item="86"/>
        </tpls>
      </n>
      <n v="300320.90999999992" in="0">
        <tpls c="4">
          <tpl fld="7" item="0"/>
          <tpl fld="8" item="0"/>
          <tpl fld="10" item="58"/>
          <tpl hier="64" item="0"/>
        </tpls>
      </n>
      <n v="244083" in="1">
        <tpls c="5">
          <tpl fld="1" item="21"/>
          <tpl fld="7" item="1"/>
          <tpl fld="8" item="3"/>
          <tpl fld="2" item="0"/>
          <tpl hier="64" item="0"/>
        </tpls>
      </n>
      <n v="582795.55000000016" in="0">
        <tpls c="4">
          <tpl fld="7" item="1"/>
          <tpl fld="8" item="5"/>
          <tpl fld="10" item="65"/>
          <tpl hier="64" item="0"/>
        </tpls>
      </n>
      <n v="174955208" in="0">
        <tpls c="5">
          <tpl fld="1" item="2"/>
          <tpl fld="7" item="1"/>
          <tpl fld="8" item="0"/>
          <tpl fld="9" item="1"/>
          <tpl hier="64" item="0"/>
        </tpls>
      </n>
      <n v="2355297.6300000004" in="0">
        <tpls c="4">
          <tpl fld="7" item="0"/>
          <tpl fld="8" item="5"/>
          <tpl fld="10" item="80"/>
          <tpl hier="64" item="0"/>
        </tpls>
      </n>
      <n v="159323" in="1">
        <tpls c="4">
          <tpl fld="7" item="0"/>
          <tpl fld="8" item="3"/>
          <tpl fld="10" item="8"/>
          <tpl hier="64" item="0"/>
        </tpls>
      </n>
      <n v="8550.06" in="0">
        <tpls c="4">
          <tpl fld="7" item="0"/>
          <tpl fld="8" item="5"/>
          <tpl fld="10" item="60"/>
          <tpl hier="64" item="0"/>
        </tpls>
      </n>
      <n v="131958802.95999999" in="0">
        <tpls c="4">
          <tpl fld="7" item="0"/>
          <tpl fld="8" item="0"/>
          <tpl fld="10" item="74"/>
          <tpl hier="64" item="0"/>
        </tpls>
      </n>
      <n v="4307501.4300000006" in="0">
        <tpls c="4">
          <tpl fld="7" item="1"/>
          <tpl fld="8" item="5"/>
          <tpl fld="10" item="46"/>
          <tpl hier="64" item="0"/>
        </tpls>
      </n>
      <n v="0" in="1">
        <tpls c="4">
          <tpl fld="7" item="1"/>
          <tpl fld="8" item="3"/>
          <tpl fld="10" item="16"/>
          <tpl hier="64" item="0"/>
        </tpls>
      </n>
      <n v="189" in="1">
        <tpls c="4">
          <tpl fld="7" item="1"/>
          <tpl fld="8" item="4"/>
          <tpl fld="10" item="59"/>
          <tpl hier="64" item="0"/>
        </tpls>
      </n>
      <n v="31" in="1">
        <tpls c="4">
          <tpl fld="7" item="0"/>
          <tpl fld="8" item="4"/>
          <tpl fld="10" item="35"/>
          <tpl hier="64" item="0"/>
        </tpls>
      </n>
      <n v="2" in="1">
        <tpls c="4">
          <tpl fld="7" item="0"/>
          <tpl fld="8" item="4"/>
          <tpl fld="10" item="53"/>
          <tpl hier="64" item="0"/>
        </tpls>
      </n>
      <n v="4" in="1">
        <tpls c="4">
          <tpl fld="7" item="1"/>
          <tpl fld="8" item="4"/>
          <tpl fld="10" item="40"/>
          <tpl hier="64" item="0"/>
        </tpls>
      </n>
      <n v="1073784.72" in="0">
        <tpls c="4">
          <tpl fld="7" item="1"/>
          <tpl fld="8" item="5"/>
          <tpl fld="10" item="43"/>
          <tpl hier="64" item="0"/>
        </tpls>
      </n>
      <n v="6743" in="1">
        <tpls c="4">
          <tpl fld="7" item="0"/>
          <tpl fld="8" item="3"/>
          <tpl fld="10" item="70"/>
          <tpl hier="64" item="0"/>
        </tpls>
      </n>
      <n v="1998507.4800000002" in="0">
        <tpls c="4">
          <tpl fld="7" item="1"/>
          <tpl fld="8" item="5"/>
          <tpl fld="10" item="99"/>
          <tpl hier="64" item="0"/>
        </tpls>
      </n>
      <n v="89285656.98999998" in="0">
        <tpls c="4">
          <tpl fld="7" item="1"/>
          <tpl fld="8" item="5"/>
          <tpl fld="10" item="104"/>
          <tpl hier="64" item="0"/>
        </tpls>
      </n>
      <n v="7971" in="1">
        <tpls c="5">
          <tpl fld="1" item="24"/>
          <tpl fld="7" item="1"/>
          <tpl fld="8" item="3"/>
          <tpl hier="54" item="4294967295"/>
          <tpl hier="64" item="0"/>
        </tpls>
      </n>
      <n v="0" in="0">
        <tpls c="4">
          <tpl fld="7" item="0"/>
          <tpl fld="8" item="0"/>
          <tpl fld="10" item="101"/>
          <tpl hier="64" item="0"/>
        </tpls>
      </n>
      <n v="0" in="0">
        <tpls c="5">
          <tpl fld="1" item="20"/>
          <tpl fld="7" item="1"/>
          <tpl fld="8" item="0"/>
          <tpl fld="9" item="1"/>
          <tpl hier="64" item="0"/>
        </tpls>
      </n>
      <n v="196" in="1">
        <tpls c="4">
          <tpl fld="7" item="1"/>
          <tpl fld="8" item="4"/>
          <tpl fld="3" item="9"/>
          <tpl hier="64" item="0"/>
        </tpls>
      </n>
      <n v="3080" in="1">
        <tpls c="4">
          <tpl fld="7" item="1"/>
          <tpl fld="8" item="4"/>
          <tpl fld="3" item="15"/>
          <tpl hier="64" item="0"/>
        </tpls>
      </n>
      <n v="4598342.7299999995" in="0">
        <tpls c="4">
          <tpl fld="7" item="0"/>
          <tpl fld="8" item="5"/>
          <tpl fld="10" item="85"/>
          <tpl hier="64" item="0"/>
        </tpls>
      </n>
      <n v="24" in="1">
        <tpls c="4">
          <tpl fld="7" item="0"/>
          <tpl fld="8" item="3"/>
          <tpl fld="10" item="69"/>
          <tpl hier="64" item="0"/>
        </tpls>
      </n>
      <n v="2075" in="1">
        <tpls c="4">
          <tpl fld="7" item="1"/>
          <tpl fld="8" item="3"/>
          <tpl fld="10" item="72"/>
          <tpl hier="64" item="0"/>
        </tpls>
      </n>
      <n v="3164731.9299999997" in="0">
        <tpls c="4">
          <tpl fld="7" item="0"/>
          <tpl fld="8" item="5"/>
          <tpl fld="10" item="1"/>
          <tpl hier="64" item="0"/>
        </tpls>
      </n>
      <n v="0" in="0">
        <tpls c="2">
          <tpl fld="8" item="0"/>
          <tpl fld="10" item="36"/>
        </tpls>
      </n>
      <n v="8" in="1">
        <tpls c="4">
          <tpl fld="7" item="1"/>
          <tpl fld="8" item="4"/>
          <tpl fld="10" item="34"/>
          <tpl hier="64" item="0"/>
        </tpls>
      </n>
      <n v="5988" in="1">
        <tpls c="4">
          <tpl fld="7" item="0"/>
          <tpl fld="8" item="4"/>
          <tpl fld="10" item="14"/>
          <tpl hier="64" item="0"/>
        </tpls>
      </n>
      <n v="597204" in="1">
        <tpls c="4">
          <tpl fld="7" item="1"/>
          <tpl fld="8" item="4"/>
          <tpl hier="54" item="4294967295"/>
          <tpl hier="64" item="0"/>
        </tpls>
      </n>
      <n v="0" in="0">
        <tpls c="5">
          <tpl fld="1" item="0"/>
          <tpl fld="7" item="1"/>
          <tpl fld="8" item="0"/>
          <tpl fld="9" item="0"/>
          <tpl hier="64" item="0"/>
        </tpls>
      </n>
      <n v="5120216546.999999" in="0">
        <tpls c="4">
          <tpl fld="7" item="1"/>
          <tpl fld="8" item="0"/>
          <tpl fld="2" item="0"/>
          <tpl hier="64" item="0"/>
        </tpls>
      </n>
      <m>
        <tpls c="5">
          <tpl fld="1" item="15"/>
          <tpl fld="7" item="1"/>
          <tpl fld="8" item="0"/>
          <tpl fld="9" item="1"/>
          <tpl hier="64" item="0"/>
        </tpls>
      </m>
      <n v="30" in="1">
        <tpls c="4">
          <tpl fld="7" item="0"/>
          <tpl fld="8" item="3"/>
          <tpl fld="10" item="40"/>
          <tpl hier="64" item="0"/>
        </tpls>
      </n>
      <n v="1903" in="1">
        <tpls c="4">
          <tpl fld="7" item="1"/>
          <tpl fld="8" item="4"/>
          <tpl fld="10" item="5"/>
          <tpl hier="64" item="0"/>
        </tpls>
      </n>
      <m>
        <tpls c="5">
          <tpl fld="1" item="14"/>
          <tpl fld="7" item="1"/>
          <tpl fld="8" item="3"/>
          <tpl fld="2" item="1"/>
          <tpl hier="64" item="0"/>
        </tpls>
      </m>
      <n v="1282606.1000000001" in="0">
        <tpls c="4">
          <tpl fld="7" item="1"/>
          <tpl fld="8" item="5"/>
          <tpl fld="10" item="83"/>
          <tpl hier="64" item="0"/>
        </tpls>
      </n>
      <n v="1231268.1500000001" in="0">
        <tpls c="4">
          <tpl fld="7" item="1"/>
          <tpl fld="8" item="5"/>
          <tpl fld="10" item="59"/>
          <tpl hier="64" item="0"/>
        </tpls>
      </n>
      <n v="1687" in="1">
        <tpls c="4">
          <tpl fld="7" item="1"/>
          <tpl fld="8" item="3"/>
          <tpl fld="10" item="19"/>
          <tpl hier="64" item="0"/>
        </tpls>
      </n>
      <n v="1038" in="1">
        <tpls c="4">
          <tpl fld="7" item="1"/>
          <tpl fld="8" item="4"/>
          <tpl fld="10" item="47"/>
          <tpl hier="64" item="0"/>
        </tpls>
      </n>
      <n v="39601" in="1">
        <tpls c="4">
          <tpl fld="7" item="0"/>
          <tpl fld="8" item="3"/>
          <tpl fld="10" item="54"/>
          <tpl hier="64" item="0"/>
        </tpls>
      </n>
      <n v="276" in="1">
        <tpls c="4">
          <tpl fld="7" item="0"/>
          <tpl fld="8" item="4"/>
          <tpl fld="10" item="59"/>
          <tpl hier="64" item="0"/>
        </tpls>
      </n>
      <n v="0" in="0">
        <tpls c="5">
          <tpl fld="1" item="10"/>
          <tpl fld="7" item="1"/>
          <tpl fld="8" item="0"/>
          <tpl fld="9" item="0"/>
          <tpl hier="64" item="0"/>
        </tpls>
      </n>
      <n v="69050210.51000002" in="0">
        <tpls c="2">
          <tpl fld="8" item="0"/>
          <tpl fld="10" item="102"/>
        </tpls>
      </n>
      <n v="32012497.200000003" in="0">
        <tpls c="5">
          <tpl fld="1" item="10"/>
          <tpl fld="7" item="1"/>
          <tpl fld="8" item="0"/>
          <tpl fld="9" item="1"/>
          <tpl hier="64" item="0"/>
        </tpls>
      </n>
      <n v="936875868.40999985" in="0">
        <tpls c="2">
          <tpl fld="8" item="0"/>
          <tpl fld="3" item="14"/>
        </tpls>
      </n>
      <n v="7649" in="1">
        <tpls c="4">
          <tpl fld="7" item="0"/>
          <tpl fld="8" item="3"/>
          <tpl fld="10" item="64"/>
          <tpl hier="64" item="0"/>
        </tpls>
      </n>
      <n v="53574044213.570053" in="0">
        <tpls c="2">
          <tpl fld="8" item="0"/>
          <tpl fld="2" item="1"/>
        </tpls>
      </n>
      <m>
        <tpls c="5">
          <tpl fld="1" item="13"/>
          <tpl fld="7" item="1"/>
          <tpl fld="8" item="3"/>
          <tpl fld="2" item="1"/>
          <tpl hier="64" item="0"/>
        </tpls>
      </m>
      <n v="84193" in="1">
        <tpls c="5">
          <tpl fld="1" item="8"/>
          <tpl fld="7" item="1"/>
          <tpl fld="8" item="3"/>
          <tpl fld="2" item="1"/>
          <tpl hier="64" item="0"/>
        </tpls>
      </n>
      <n v="101" in="1">
        <tpls c="4">
          <tpl fld="7" item="1"/>
          <tpl fld="8" item="3"/>
          <tpl fld="3" item="24"/>
          <tpl hier="64" item="0"/>
        </tpls>
      </n>
      <n v="25" in="1">
        <tpls c="4">
          <tpl fld="7" item="1"/>
          <tpl fld="8" item="3"/>
          <tpl fld="10" item="69"/>
          <tpl hier="64" item="0"/>
        </tpls>
      </n>
      <n v="253" in="1">
        <tpls c="4">
          <tpl fld="7" item="0"/>
          <tpl fld="8" item="3"/>
          <tpl fld="10" item="26"/>
          <tpl hier="64" item="0"/>
        </tpls>
      </n>
      <n v="0" in="1">
        <tpls c="4">
          <tpl fld="7" item="0"/>
          <tpl fld="8" item="4"/>
          <tpl fld="10" item="106"/>
          <tpl hier="64" item="0"/>
        </tpls>
      </n>
      <n v="51273" in="1">
        <tpls c="5">
          <tpl fld="1" item="14"/>
          <tpl fld="7" item="1"/>
          <tpl fld="8" item="3"/>
          <tpl hier="54" item="4294967295"/>
          <tpl hier="64" item="0"/>
        </tpls>
      </n>
      <n v="79" in="1">
        <tpls c="4">
          <tpl fld="7" item="0"/>
          <tpl fld="8" item="3"/>
          <tpl fld="10" item="58"/>
          <tpl hier="64" item="0"/>
        </tpls>
      </n>
      <n v="2380" in="1">
        <tpls c="4">
          <tpl fld="7" item="1"/>
          <tpl fld="8" item="4"/>
          <tpl fld="10" item="100"/>
          <tpl hier="64" item="0"/>
        </tpls>
      </n>
      <m>
        <tpls c="5">
          <tpl fld="1" item="9"/>
          <tpl fld="7" item="1"/>
          <tpl fld="8" item="0"/>
          <tpl fld="9" item="0"/>
          <tpl hier="64" item="0"/>
        </tpls>
      </m>
      <n v="125566" in="1">
        <tpls c="4">
          <tpl fld="7" item="1"/>
          <tpl fld="8" item="3"/>
          <tpl fld="3" item="23"/>
          <tpl hier="64" item="0"/>
        </tpls>
      </n>
      <n v="176735" in="1">
        <tpls c="5">
          <tpl fld="1" item="2"/>
          <tpl fld="7" item="1"/>
          <tpl fld="8" item="3"/>
          <tpl hier="54" item="4294967295"/>
          <tpl hier="64" item="0"/>
        </tpls>
      </n>
      <n v="37" in="1">
        <tpls c="4">
          <tpl fld="7" item="1"/>
          <tpl fld="8" item="3"/>
          <tpl fld="10" item="11"/>
          <tpl hier="64" item="0"/>
        </tpls>
      </n>
      <n v="5125580" in="1">
        <tpls c="5">
          <tpl hier="22" item="4294967295"/>
          <tpl fld="7" item="1"/>
          <tpl fld="8" item="3"/>
          <tpl fld="2" item="0"/>
          <tpl hier="64" item="0"/>
        </tpls>
      </n>
      <n v="3531589.7899999991" in="0">
        <tpls c="4">
          <tpl fld="7" item="0"/>
          <tpl fld="8" item="5"/>
          <tpl fld="10" item="45"/>
          <tpl hier="64" item="0"/>
        </tpls>
      </n>
      <n v="734" in="1">
        <tpls c="4">
          <tpl fld="7" item="0"/>
          <tpl fld="8" item="4"/>
          <tpl fld="10" item="99"/>
          <tpl hier="64" item="0"/>
        </tpls>
      </n>
      <n v="0" in="0">
        <tpls c="4">
          <tpl fld="7" item="1"/>
          <tpl fld="8" item="5"/>
          <tpl fld="10" item="16"/>
          <tpl hier="64" item="0"/>
        </tpls>
      </n>
      <n v="4" in="1">
        <tpls c="4">
          <tpl fld="7" item="1"/>
          <tpl fld="8" item="4"/>
          <tpl fld="10" item="29"/>
          <tpl hier="64" item="0"/>
        </tpls>
      </n>
      <n v="2140" in="0">
        <tpls c="4">
          <tpl fld="7" item="1"/>
          <tpl fld="8" item="5"/>
          <tpl fld="10" item="32"/>
          <tpl hier="64" item="0"/>
        </tpls>
      </n>
      <n v="1321493.94" in="0">
        <tpls c="4">
          <tpl fld="7" item="0"/>
          <tpl fld="8" item="0"/>
          <tpl fld="10" item="21"/>
          <tpl hier="64" item="0"/>
        </tpls>
      </n>
      <n v="3097" in="1">
        <tpls c="4">
          <tpl fld="7" item="1"/>
          <tpl fld="8" item="3"/>
          <tpl fld="10" item="45"/>
          <tpl hier="64" item="0"/>
        </tpls>
      </n>
      <n v="0" in="1">
        <tpls c="4">
          <tpl fld="7" item="0"/>
          <tpl fld="8" item="4"/>
          <tpl fld="10" item="69"/>
          <tpl hier="64" item="0"/>
        </tpls>
      </n>
      <n v="2" in="1">
        <tpls c="4">
          <tpl fld="7" item="0"/>
          <tpl fld="8" item="4"/>
          <tpl fld="10" item="32"/>
          <tpl hier="64" item="0"/>
        </tpls>
      </n>
      <n v="1539592.3500000003" in="0">
        <tpls c="4">
          <tpl fld="7" item="1"/>
          <tpl fld="8" item="5"/>
          <tpl fld="10" item="33"/>
          <tpl hier="64" item="0"/>
        </tpls>
      </n>
      <n v="99728" in="1">
        <tpls c="4">
          <tpl fld="7" item="1"/>
          <tpl fld="8" item="3"/>
          <tpl fld="10" item="18"/>
          <tpl hier="64" item="0"/>
        </tpls>
      </n>
      <n v="521232301.86999989" in="0">
        <tpls c="2">
          <tpl fld="8" item="0"/>
          <tpl fld="10" item="75"/>
        </tpls>
      </n>
      <n v="51834090.370000005" in="0">
        <tpls c="4">
          <tpl fld="7" item="1"/>
          <tpl fld="8" item="0"/>
          <tpl fld="10" item="61"/>
          <tpl hier="64" item="0"/>
        </tpls>
      </n>
      <n v="0" in="1">
        <tpls c="4">
          <tpl fld="7" item="1"/>
          <tpl fld="8" item="4"/>
          <tpl fld="10" item="22"/>
          <tpl hier="64" item="0"/>
        </tpls>
      </n>
      <n v="107070" in="1">
        <tpls c="4">
          <tpl fld="7" item="0"/>
          <tpl fld="8" item="3"/>
          <tpl fld="10" item="109"/>
          <tpl hier="64" item="0"/>
        </tpls>
      </n>
      <n v="53063940.099999979" in="0">
        <tpls c="4">
          <tpl fld="7" item="0"/>
          <tpl fld="8" item="0"/>
          <tpl fld="10" item="8"/>
          <tpl hier="64" item="0"/>
        </tpls>
      </n>
      <n v="2" in="1">
        <tpls c="4">
          <tpl fld="7" item="1"/>
          <tpl fld="8" item="4"/>
          <tpl fld="10" item="27"/>
          <tpl hier="64" item="0"/>
        </tpls>
      </n>
      <n v="124944" in="1">
        <tpls c="4">
          <tpl fld="7" item="0"/>
          <tpl fld="8" item="4"/>
          <tpl fld="10" item="104"/>
          <tpl hier="64" item="0"/>
        </tpls>
      </n>
      <n v="178" in="1">
        <tpls c="4">
          <tpl fld="7" item="1"/>
          <tpl fld="8" item="3"/>
          <tpl fld="10" item="65"/>
          <tpl hier="64" item="0"/>
        </tpls>
      </n>
      <n v="770172.69000000006" in="0">
        <tpls c="4">
          <tpl fld="7" item="0"/>
          <tpl fld="8" item="5"/>
          <tpl fld="10" item="83"/>
          <tpl hier="64" item="0"/>
        </tpls>
      </n>
      <n v="0" in="0">
        <tpls c="5">
          <tpl fld="1" item="22"/>
          <tpl fld="7" item="1"/>
          <tpl fld="8" item="0"/>
          <tpl fld="9" item="1"/>
          <tpl hier="64" item="0"/>
        </tpls>
      </n>
      <n v="161246713.37" in="0">
        <tpls c="5">
          <tpl fld="1" item="6"/>
          <tpl fld="7" item="1"/>
          <tpl fld="8" item="0"/>
          <tpl fld="9" item="0"/>
          <tpl hier="64" item="0"/>
        </tpls>
      </n>
      <n v="92889.58" in="0">
        <tpls c="4">
          <tpl fld="7" item="0"/>
          <tpl fld="8" item="0"/>
          <tpl fld="10" item="4"/>
          <tpl hier="64" item="0"/>
        </tpls>
      </n>
      <n v="319991" in="1">
        <tpls c="5">
          <tpl fld="1" item="21"/>
          <tpl fld="7" item="1"/>
          <tpl fld="8" item="3"/>
          <tpl hier="54" item="4294967295"/>
          <tpl hier="64" item="0"/>
        </tpls>
      </n>
      <n v="0" in="0">
        <tpls c="4">
          <tpl fld="7" item="1"/>
          <tpl fld="8" item="5"/>
          <tpl fld="10" item="68"/>
          <tpl hier="64" item="0"/>
        </tpls>
      </n>
      <n v="12055819.829999998" in="0">
        <tpls c="4">
          <tpl fld="7" item="0"/>
          <tpl fld="8" item="5"/>
          <tpl fld="10" item="75"/>
          <tpl hier="64" item="0"/>
        </tpls>
      </n>
      <n v="555" in="1">
        <tpls c="4">
          <tpl fld="7" item="1"/>
          <tpl fld="8" item="4"/>
          <tpl fld="10" item="79"/>
          <tpl hier="64" item="0"/>
        </tpls>
      </n>
      <n v="110496906.43000005" in="0">
        <tpls c="2">
          <tpl fld="8" item="0"/>
          <tpl fld="3" item="21"/>
        </tpls>
      </n>
      <n v="77" in="1">
        <tpls c="4">
          <tpl fld="7" item="0"/>
          <tpl fld="8" item="3"/>
          <tpl fld="10" item="95"/>
          <tpl hier="64" item="0"/>
        </tpls>
      </n>
      <n v="0" in="0">
        <tpls c="4">
          <tpl fld="7" item="1"/>
          <tpl fld="8" item="0"/>
          <tpl fld="10" item="82"/>
          <tpl hier="64" item="0"/>
        </tpls>
      </n>
      <n v="704762622.42999995" in="0">
        <tpls c="5">
          <tpl fld="1" item="20"/>
          <tpl fld="7" item="1"/>
          <tpl fld="8" item="0"/>
          <tpl fld="9" item="0"/>
          <tpl hier="64" item="0"/>
        </tpls>
      </n>
      <n v="14883" in="1">
        <tpls c="5">
          <tpl fld="1" item="0"/>
          <tpl fld="7" item="1"/>
          <tpl fld="8" item="3"/>
          <tpl hier="54" item="4294967295"/>
          <tpl hier="64" item="0"/>
        </tpls>
      </n>
      <n v="0" in="1">
        <tpls c="4">
          <tpl fld="7" item="0"/>
          <tpl fld="8" item="4"/>
          <tpl fld="10" item="98"/>
          <tpl hier="64" item="0"/>
        </tpls>
      </n>
      <n v="12" in="1">
        <tpls c="4">
          <tpl fld="7" item="0"/>
          <tpl fld="8" item="4"/>
          <tpl fld="10" item="40"/>
          <tpl hier="64" item="0"/>
        </tpls>
      </n>
      <n v="149600639.26999995" in="0">
        <tpls c="5">
          <tpl fld="1" item="13"/>
          <tpl fld="7" item="1"/>
          <tpl fld="8" item="0"/>
          <tpl fld="9" item="0"/>
          <tpl hier="64" item="0"/>
        </tpls>
      </n>
      <n v="16888" in="1">
        <tpls c="4">
          <tpl fld="7" item="1"/>
          <tpl fld="8" item="4"/>
          <tpl fld="10" item="92"/>
          <tpl hier="64" item="0"/>
        </tpls>
      </n>
      <n v="9294" in="1">
        <tpls c="4">
          <tpl fld="7" item="0"/>
          <tpl fld="8" item="3"/>
          <tpl fld="10" item="5"/>
          <tpl hier="64" item="0"/>
        </tpls>
      </n>
      <n v="157256" in="1">
        <tpls c="5">
          <tpl fld="1" item="11"/>
          <tpl fld="7" item="1"/>
          <tpl fld="8" item="3"/>
          <tpl fld="2" item="0"/>
          <tpl hier="64" item="0"/>
        </tpls>
      </n>
      <n v="39147890668.23999" in="0">
        <tpls c="2">
          <tpl fld="8" item="0"/>
          <tpl fld="10" item="62"/>
        </tpls>
      </n>
      <n v="0" in="1">
        <tpls c="4">
          <tpl fld="7" item="0"/>
          <tpl fld="8" item="4"/>
          <tpl fld="10" item="82"/>
          <tpl hier="64" item="0"/>
        </tpls>
      </n>
      <n v="64355915.460000008" in="0">
        <tpls c="4">
          <tpl fld="7" item="1"/>
          <tpl fld="8" item="0"/>
          <tpl fld="10" item="54"/>
          <tpl hier="64" item="0"/>
        </tpls>
      </n>
      <n v="221134652.7299999" in="0">
        <tpls c="5">
          <tpl fld="1" item="3"/>
          <tpl fld="7" item="1"/>
          <tpl fld="8" item="0"/>
          <tpl fld="9" item="0"/>
          <tpl hier="64" item="0"/>
        </tpls>
      </n>
      <n v="33820" in="1">
        <tpls c="4">
          <tpl fld="7" item="1"/>
          <tpl fld="8" item="3"/>
          <tpl fld="10" item="63"/>
          <tpl hier="64" item="0"/>
        </tpls>
      </n>
      <n v="439000044.69" in="0">
        <tpls c="4">
          <tpl fld="7" item="1"/>
          <tpl fld="8" item="5"/>
          <tpl fld="10" item="28"/>
          <tpl hier="64" item="0"/>
        </tpls>
      </n>
      <n v="1872224.1199999999" in="0">
        <tpls c="4">
          <tpl fld="7" item="1"/>
          <tpl fld="8" item="0"/>
          <tpl fld="10" item="34"/>
          <tpl hier="64" item="0"/>
        </tpls>
      </n>
      <n v="16985664.91" in="0">
        <tpls c="4">
          <tpl fld="7" item="1"/>
          <tpl fld="8" item="5"/>
          <tpl fld="10" item="31"/>
          <tpl hier="64" item="0"/>
        </tpls>
      </n>
      <n v="0" in="0">
        <tpls c="4">
          <tpl fld="7" item="1"/>
          <tpl fld="8" item="5"/>
          <tpl fld="10" item="71"/>
          <tpl hier="64" item="0"/>
        </tpls>
      </n>
      <n v="3454248899.2000017" in="0">
        <tpls c="2">
          <tpl fld="8" item="0"/>
          <tpl fld="3" item="15"/>
        </tpls>
      </n>
      <n v="27" in="1">
        <tpls c="4">
          <tpl fld="7" item="0"/>
          <tpl fld="8" item="4"/>
          <tpl fld="10" item="41"/>
          <tpl hier="64" item="0"/>
        </tpls>
      </n>
      <n v="0" in="0">
        <tpls c="4">
          <tpl fld="7" item="1"/>
          <tpl fld="8" item="5"/>
          <tpl fld="10" item="25"/>
          <tpl hier="64" item="0"/>
        </tpls>
      </n>
      <n v="69" in="1">
        <tpls c="4">
          <tpl fld="7" item="0"/>
          <tpl fld="8" item="4"/>
          <tpl fld="10" item="95"/>
          <tpl hier="64" item="0"/>
        </tpls>
      </n>
      <n v="114739652.33000001" in="0">
        <tpls c="4">
          <tpl fld="7" item="1"/>
          <tpl fld="8" item="0"/>
          <tpl fld="3" item="15"/>
          <tpl hier="64" item="0"/>
        </tpls>
      </n>
      <n v="4522132.6400000006" in="0">
        <tpls c="4">
          <tpl fld="7" item="1"/>
          <tpl fld="8" item="5"/>
          <tpl fld="10" item="100"/>
          <tpl hier="64" item="0"/>
        </tpls>
      </n>
      <n v="0" in="0">
        <tpls c="4">
          <tpl fld="7" item="0"/>
          <tpl fld="8" item="5"/>
          <tpl fld="10" item="7"/>
          <tpl hier="64" item="0"/>
        </tpls>
      </n>
      <n v="1029664.0399999999" in="0">
        <tpls c="4">
          <tpl fld="7" item="0"/>
          <tpl fld="8" item="0"/>
          <tpl fld="10" item="9"/>
          <tpl hier="64" item="0"/>
        </tpls>
      </n>
      <n v="3684" in="1">
        <tpls c="4">
          <tpl fld="7" item="0"/>
          <tpl fld="8" item="3"/>
          <tpl fld="10" item="100"/>
          <tpl hier="64" item="0"/>
        </tpls>
      </n>
      <n v="3112" in="1">
        <tpls c="4">
          <tpl fld="7" item="0"/>
          <tpl fld="8" item="3"/>
          <tpl fld="10" item="57"/>
          <tpl hier="64" item="0"/>
        </tpls>
      </n>
      <n v="0" in="0">
        <tpls c="4">
          <tpl fld="7" item="1"/>
          <tpl fld="8" item="0"/>
          <tpl fld="3" item="19"/>
          <tpl hier="64" item="0"/>
        </tpls>
      </n>
      <n v="786" in="1">
        <tpls c="4">
          <tpl fld="7" item="1"/>
          <tpl fld="8" item="4"/>
          <tpl fld="10" item="76"/>
          <tpl hier="64" item="0"/>
        </tpls>
      </n>
      <n v="0" in="1">
        <tpls c="4">
          <tpl fld="7" item="1"/>
          <tpl fld="8" item="3"/>
          <tpl fld="3" item="1"/>
          <tpl hier="64" item="0"/>
        </tpls>
      </n>
      <n v="41494634.359999992" in="0">
        <tpls c="5">
          <tpl fld="1" item="22"/>
          <tpl fld="7" item="1"/>
          <tpl fld="8" item="0"/>
          <tpl fld="9" item="0"/>
          <tpl hier="64" item="0"/>
        </tpls>
      </n>
      <n v="70883899.699999973" in="0">
        <tpls c="4">
          <tpl fld="7" item="1"/>
          <tpl fld="8" item="0"/>
          <tpl fld="10" item="19"/>
          <tpl hier="64" item="0"/>
        </tpls>
      </n>
      <n v="21481679.920000002" in="0">
        <tpls c="4">
          <tpl fld="7" item="1"/>
          <tpl fld="8" item="0"/>
          <tpl fld="10" item="51"/>
          <tpl hier="64" item="0"/>
        </tpls>
      </n>
      <n v="0" in="1">
        <tpls c="4">
          <tpl fld="7" item="0"/>
          <tpl fld="8" item="4"/>
          <tpl fld="10" item="29"/>
          <tpl hier="64" item="0"/>
        </tpls>
      </n>
      <n v="28591" in="1">
        <tpls c="4">
          <tpl fld="7" item="1"/>
          <tpl fld="8" item="3"/>
          <tpl fld="10" item="108"/>
          <tpl hier="64" item="0"/>
        </tpls>
      </n>
      <n v="2719" in="1">
        <tpls c="4">
          <tpl fld="7" item="1"/>
          <tpl fld="8" item="4"/>
          <tpl fld="10" item="3"/>
          <tpl hier="64" item="0"/>
        </tpls>
      </n>
      <n v="0" in="1">
        <tpls c="4">
          <tpl fld="7" item="1"/>
          <tpl fld="8" item="4"/>
          <tpl fld="10" item="101"/>
          <tpl hier="64" item="0"/>
        </tpls>
      </n>
      <n v="10" in="1">
        <tpls c="4">
          <tpl fld="7" item="0"/>
          <tpl fld="8" item="3"/>
          <tpl fld="10" item="37"/>
          <tpl hier="64" item="0"/>
        </tpls>
      </n>
      <n v="12714" in="1">
        <tpls c="4">
          <tpl fld="7" item="1"/>
          <tpl fld="8" item="4"/>
          <tpl fld="3" item="5"/>
          <tpl hier="64" item="0"/>
        </tpls>
      </n>
      <n v="512752402.85000002" in="0">
        <tpls c="4">
          <tpl fld="7" item="1"/>
          <tpl fld="8" item="0"/>
          <tpl fld="3" item="7"/>
          <tpl hier="64" item="0"/>
        </tpls>
      </n>
      <n v="1459291.49" in="0">
        <tpls c="4">
          <tpl fld="7" item="0"/>
          <tpl fld="8" item="5"/>
          <tpl fld="10" item="29"/>
          <tpl hier="64" item="0"/>
        </tpls>
      </n>
      <n v="0" in="0">
        <tpls c="4">
          <tpl fld="7" item="0"/>
          <tpl fld="8" item="5"/>
          <tpl fld="10" item="26"/>
          <tpl hier="64" item="0"/>
        </tpls>
      </n>
      <n v="854045.8" in="0">
        <tpls c="4">
          <tpl fld="7" item="0"/>
          <tpl fld="8" item="5"/>
          <tpl fld="10" item="32"/>
          <tpl hier="64" item="0"/>
        </tpls>
      </n>
      <n v="0" in="1">
        <tpls c="4">
          <tpl fld="7" item="0"/>
          <tpl fld="8" item="4"/>
          <tpl fld="10" item="22"/>
          <tpl hier="64" item="0"/>
        </tpls>
      </n>
      <n v="0" in="0">
        <tpls c="4">
          <tpl fld="7" item="0"/>
          <tpl fld="8" item="5"/>
          <tpl fld="10" item="22"/>
          <tpl hier="64" item="0"/>
        </tpls>
      </n>
      <n v="18" in="1">
        <tpls c="4">
          <tpl fld="7" item="1"/>
          <tpl fld="8" item="3"/>
          <tpl fld="10" item="40"/>
          <tpl hier="64" item="0"/>
        </tpls>
      </n>
      <n v="62" in="1">
        <tpls c="4">
          <tpl fld="7" item="0"/>
          <tpl fld="8" item="4"/>
          <tpl fld="10" item="33"/>
          <tpl hier="64" item="0"/>
        </tpls>
      </n>
      <n v="2251" in="1">
        <tpls c="4">
          <tpl fld="7" item="0"/>
          <tpl fld="8" item="4"/>
          <tpl fld="10" item="89"/>
          <tpl hier="64" item="0"/>
        </tpls>
      </n>
      <n v="10031192.720000001" in="0">
        <tpls c="5">
          <tpl fld="1" item="24"/>
          <tpl fld="7" item="1"/>
          <tpl fld="8" item="0"/>
          <tpl hier="60" item="4294967295"/>
          <tpl hier="64" item="0"/>
        </tpls>
      </n>
      <n v="131" in="1">
        <tpls c="4">
          <tpl fld="7" item="0"/>
          <tpl fld="8" item="4"/>
          <tpl fld="10" item="2"/>
          <tpl hier="64" item="0"/>
        </tpls>
      </n>
      <n v="201311750.89000005" in="0">
        <tpls c="2">
          <tpl fld="8" item="0"/>
          <tpl fld="10" item="46"/>
        </tpls>
      </n>
      <m>
        <tpls c="5">
          <tpl fld="1" item="13"/>
          <tpl fld="7" item="1"/>
          <tpl fld="8" item="0"/>
          <tpl fld="9" item="1"/>
          <tpl hier="64" item="0"/>
        </tpls>
      </m>
      <n v="436632.3000000001" in="0">
        <tpls c="4">
          <tpl fld="7" item="1"/>
          <tpl fld="8" item="0"/>
          <tpl fld="10" item="66"/>
          <tpl hier="64" item="0"/>
        </tpls>
      </n>
      <n v="4548" in="1">
        <tpls c="4">
          <tpl fld="7" item="1"/>
          <tpl fld="8" item="3"/>
          <tpl fld="10" item="13"/>
          <tpl hier="64" item="0"/>
        </tpls>
      </n>
      <n v="4685236.4999999991" in="0">
        <tpls c="4">
          <tpl fld="7" item="1"/>
          <tpl fld="8" item="0"/>
          <tpl fld="10" item="14"/>
          <tpl hier="64" item="0"/>
        </tpls>
      </n>
      <n v="75899" in="1">
        <tpls c="4">
          <tpl fld="7" item="0"/>
          <tpl fld="8" item="3"/>
          <tpl fld="10" item="104"/>
          <tpl hier="64" item="0"/>
        </tpls>
      </n>
      <n v="4638837.9200000009" in="0">
        <tpls c="4">
          <tpl fld="7" item="1"/>
          <tpl fld="8" item="0"/>
          <tpl fld="10" item="29"/>
          <tpl hier="64" item="0"/>
        </tpls>
      </n>
      <n v="3004992.9" in="0">
        <tpls c="2">
          <tpl fld="8" item="0"/>
          <tpl fld="10" item="69"/>
        </tpls>
      </n>
      <n v="10825703.059999999" in="0">
        <tpls c="5">
          <tpl fld="1" item="17"/>
          <tpl fld="7" item="1"/>
          <tpl fld="8" item="0"/>
          <tpl hier="60" item="4294967295"/>
          <tpl hier="64" item="0"/>
        </tpls>
      </n>
      <n v="2442" in="1">
        <tpls c="4">
          <tpl fld="7" item="0"/>
          <tpl fld="8" item="4"/>
          <tpl fld="10" item="61"/>
          <tpl hier="64" item="0"/>
        </tpls>
      </n>
      <n v="23" in="1">
        <tpls c="4">
          <tpl fld="7" item="1"/>
          <tpl fld="8" item="3"/>
          <tpl fld="10" item="110"/>
          <tpl hier="64" item="0"/>
        </tpls>
      </n>
      <n v="131" in="1">
        <tpls c="4">
          <tpl fld="7" item="0"/>
          <tpl fld="8" item="4"/>
          <tpl fld="10" item="80"/>
          <tpl hier="64" item="0"/>
        </tpls>
      </n>
      <n v="315649.59999999998" in="0">
        <tpls c="4">
          <tpl fld="7" item="1"/>
          <tpl fld="8" item="5"/>
          <tpl fld="10" item="73"/>
          <tpl hier="64" item="0"/>
        </tpls>
      </n>
      <n v="1391170.31" in="0">
        <tpls c="4">
          <tpl fld="7" item="0"/>
          <tpl fld="8" item="0"/>
          <tpl fld="10" item="7"/>
          <tpl hier="64" item="0"/>
        </tpls>
      </n>
      <n v="4" in="1">
        <tpls c="4">
          <tpl fld="7" item="1"/>
          <tpl fld="8" item="3"/>
          <tpl fld="10" item="71"/>
          <tpl hier="64" item="0"/>
        </tpls>
      </n>
      <n v="0" in="1">
        <tpls c="4">
          <tpl fld="7" item="1"/>
          <tpl fld="8" item="4"/>
          <tpl fld="10" item="25"/>
          <tpl hier="64" item="0"/>
        </tpls>
      </n>
      <n v="949977.55999999971" in="0">
        <tpls c="4">
          <tpl fld="7" item="0"/>
          <tpl fld="8" item="5"/>
          <tpl fld="10" item="91"/>
          <tpl hier="64" item="0"/>
        </tpls>
      </n>
      <n v="4259769.5200000005" in="0">
        <tpls c="4">
          <tpl fld="7" item="1"/>
          <tpl fld="8" item="0"/>
          <tpl fld="10" item="26"/>
          <tpl hier="64" item="0"/>
        </tpls>
      </n>
      <n v="8101261.129999999" in="0">
        <tpls c="4">
          <tpl fld="7" item="0"/>
          <tpl fld="8" item="5"/>
          <tpl fld="10" item="72"/>
          <tpl hier="64" item="0"/>
        </tpls>
      </n>
      <n v="14429" in="1">
        <tpls c="4">
          <tpl fld="7" item="0"/>
          <tpl fld="8" item="3"/>
          <tpl fld="10" item="67"/>
          <tpl hier="64" item="0"/>
        </tpls>
      </n>
      <n v="11998334.260000002" in="0">
        <tpls c="4">
          <tpl fld="7" item="1"/>
          <tpl fld="8" item="0"/>
          <tpl fld="10" item="99"/>
          <tpl hier="64" item="0"/>
        </tpls>
      </n>
      <n v="497" in="1">
        <tpls c="4">
          <tpl fld="7" item="0"/>
          <tpl fld="8" item="4"/>
          <tpl fld="10" item="102"/>
          <tpl hier="64" item="0"/>
        </tpls>
      </n>
      <n v="1833043.2299999997" in="0">
        <tpls c="4">
          <tpl fld="7" item="1"/>
          <tpl fld="8" item="0"/>
          <tpl fld="10" item="78"/>
          <tpl hier="64" item="0"/>
        </tpls>
      </n>
      <n v="49021546.140000001" in="0">
        <tpls c="4">
          <tpl fld="7" item="1"/>
          <tpl fld="8" item="0"/>
          <tpl fld="10" item="3"/>
          <tpl hier="64" item="0"/>
        </tpls>
      </n>
      <n v="154886112.14000005" in="0">
        <tpls c="4">
          <tpl fld="7" item="0"/>
          <tpl fld="8" item="0"/>
          <tpl fld="10" item="12"/>
          <tpl hier="64" item="0"/>
        </tpls>
      </n>
      <n v="881296.53999999992" in="0">
        <tpls c="4">
          <tpl fld="7" item="1"/>
          <tpl fld="8" item="5"/>
          <tpl fld="10" item="9"/>
          <tpl hier="64" item="0"/>
        </tpls>
      </n>
      <n v="4830099.57" in="0">
        <tpls c="4">
          <tpl fld="7" item="0"/>
          <tpl fld="8" item="0"/>
          <tpl fld="10" item="46"/>
          <tpl hier="64" item="0"/>
        </tpls>
      </n>
      <n v="566" in="1">
        <tpls c="4">
          <tpl fld="7" item="0"/>
          <tpl fld="8" item="4"/>
          <tpl fld="10" item="38"/>
          <tpl hier="64" item="0"/>
        </tpls>
      </n>
      <n v="0" in="0">
        <tpls c="4">
          <tpl fld="7" item="1"/>
          <tpl fld="8" item="5"/>
          <tpl fld="10" item="82"/>
          <tpl hier="64" item="0"/>
        </tpls>
      </n>
      <n v="5579607.4499999993" in="0">
        <tpls c="4">
          <tpl fld="7" item="0"/>
          <tpl fld="8" item="5"/>
          <tpl fld="10" item="109"/>
          <tpl hier="64" item="0"/>
        </tpls>
      </n>
      <n v="386767.30999999994" in="0">
        <tpls c="4">
          <tpl fld="7" item="0"/>
          <tpl fld="8" item="0"/>
          <tpl fld="10" item="103"/>
          <tpl hier="64" item="0"/>
        </tpls>
      </n>
      <n v="54129.19" in="0">
        <tpls c="4">
          <tpl fld="7" item="1"/>
          <tpl fld="8" item="5"/>
          <tpl fld="10" item="42"/>
          <tpl hier="64" item="0"/>
        </tpls>
      </n>
      <n v="268" in="1">
        <tpls c="4">
          <tpl fld="7" item="1"/>
          <tpl fld="8" item="4"/>
          <tpl fld="10" item="43"/>
          <tpl hier="64" item="0"/>
        </tpls>
      </n>
      <n v="165" in="1">
        <tpls c="4">
          <tpl fld="7" item="0"/>
          <tpl fld="8" item="3"/>
          <tpl fld="10" item="84"/>
          <tpl hier="64" item="0"/>
        </tpls>
      </n>
      <n v="1507429" in="1">
        <tpls c="4">
          <tpl fld="7" item="1"/>
          <tpl fld="8" item="3"/>
          <tpl fld="10" item="94"/>
          <tpl hier="64" item="0"/>
        </tpls>
      </n>
      <n v="34" in="1">
        <tpls c="4">
          <tpl fld="7" item="1"/>
          <tpl fld="8" item="4"/>
          <tpl fld="10" item="77"/>
          <tpl hier="64" item="0"/>
        </tpls>
      </n>
      <n v="2169281.4099999997" in="0">
        <tpls c="4">
          <tpl fld="7" item="1"/>
          <tpl fld="8" item="5"/>
          <tpl fld="10" item="105"/>
          <tpl hier="64" item="0"/>
        </tpls>
      </n>
      <n v="30" in="1">
        <tpls c="4">
          <tpl fld="7" item="1"/>
          <tpl fld="8" item="4"/>
          <tpl fld="10" item="50"/>
          <tpl hier="64" item="0"/>
        </tpls>
      </n>
      <n v="16445619.280000005" in="0">
        <tpls c="4">
          <tpl fld="7" item="0"/>
          <tpl fld="8" item="5"/>
          <tpl fld="10" item="51"/>
          <tpl hier="64" item="0"/>
        </tpls>
      </n>
      <n v="851593.16" in="0">
        <tpls c="4">
          <tpl fld="7" item="1"/>
          <tpl fld="8" item="0"/>
          <tpl fld="10" item="53"/>
          <tpl hier="64" item="0"/>
        </tpls>
      </n>
      <n v="57" in="1">
        <tpls c="4">
          <tpl fld="7" item="1"/>
          <tpl fld="8" item="3"/>
          <tpl fld="10" item="87"/>
          <tpl hier="64" item="0"/>
        </tpls>
      </n>
      <n v="56410885.929999992" in="0">
        <tpls c="4">
          <tpl fld="7" item="0"/>
          <tpl fld="8" item="0"/>
          <tpl fld="10" item="30"/>
          <tpl hier="64" item="0"/>
        </tpls>
      </n>
      <n v="136" in="1">
        <tpls c="4">
          <tpl fld="7" item="0"/>
          <tpl fld="8" item="3"/>
          <tpl fld="10" item="43"/>
          <tpl hier="64" item="0"/>
        </tpls>
      </n>
      <n v="44434186.530000001" in="0">
        <tpls c="4">
          <tpl fld="7" item="0"/>
          <tpl fld="8" item="0"/>
          <tpl fld="10" item="61"/>
          <tpl hier="64" item="0"/>
        </tpls>
      </n>
      <n v="47590899.950000003" in="0">
        <tpls c="4">
          <tpl fld="7" item="1"/>
          <tpl fld="8" item="0"/>
          <tpl fld="10" item="108"/>
          <tpl hier="64" item="0"/>
        </tpls>
      </n>
      <n v="891" in="1">
        <tpls c="4">
          <tpl fld="7" item="0"/>
          <tpl fld="8" item="3"/>
          <tpl fld="10" item="81"/>
          <tpl hier="64" item="0"/>
        </tpls>
      </n>
      <n v="111" in="1">
        <tpls c="4">
          <tpl fld="7" item="1"/>
          <tpl fld="8" item="4"/>
          <tpl fld="10" item="2"/>
          <tpl hier="64" item="0"/>
        </tpls>
      </n>
      <n v="0" in="0">
        <tpls c="4">
          <tpl fld="7" item="1"/>
          <tpl fld="8" item="0"/>
          <tpl fld="10" item="106"/>
          <tpl hier="64" item="0"/>
        </tpls>
      </n>
      <n v="6701019.4500000002" in="0">
        <tpls c="4">
          <tpl fld="7" item="1"/>
          <tpl fld="8" item="0"/>
          <tpl fld="10" item="5"/>
          <tpl hier="64" item="0"/>
        </tpls>
      </n>
      <n v="18339" in="1">
        <tpls c="4">
          <tpl fld="7" item="0"/>
          <tpl fld="8" item="3"/>
          <tpl fld="10" item="79"/>
          <tpl hier="64" item="0"/>
        </tpls>
      </n>
      <n v="23918" in="1">
        <tpls c="4">
          <tpl fld="7" item="1"/>
          <tpl fld="8" item="3"/>
          <tpl fld="10" item="96"/>
          <tpl hier="64" item="0"/>
        </tpls>
      </n>
      <n v="1" in="1">
        <tpls c="4">
          <tpl fld="7" item="0"/>
          <tpl fld="8" item="3"/>
          <tpl fld="10" item="22"/>
          <tpl hier="64" item="0"/>
        </tpls>
      </n>
      <n v="0" in="1">
        <tpls c="4">
          <tpl fld="7" item="1"/>
          <tpl fld="8" item="4"/>
          <tpl fld="10" item="58"/>
          <tpl hier="64" item="0"/>
        </tpls>
      </n>
      <n v="22" in="1">
        <tpls c="4">
          <tpl fld="7" item="1"/>
          <tpl fld="8" item="4"/>
          <tpl fld="10" item="97"/>
          <tpl hier="64" item="0"/>
        </tpls>
      </n>
      <n v="0" in="0">
        <tpls c="4">
          <tpl fld="7" item="0"/>
          <tpl fld="8" item="5"/>
          <tpl fld="10" item="110"/>
          <tpl hier="64" item="0"/>
        </tpls>
      </n>
      <n v="3473" in="1">
        <tpls c="4">
          <tpl fld="7" item="1"/>
          <tpl fld="8" item="3"/>
          <tpl fld="10" item="14"/>
          <tpl hier="64" item="0"/>
        </tpls>
      </n>
      <n v="0" in="0">
        <tpls c="4">
          <tpl fld="7" item="0"/>
          <tpl fld="8" item="0"/>
          <tpl fld="10" item="71"/>
          <tpl hier="64" item="0"/>
        </tpls>
      </n>
      <n v="6" in="1">
        <tpls c="4">
          <tpl fld="7" item="0"/>
          <tpl fld="8" item="4"/>
          <tpl fld="10" item="87"/>
          <tpl hier="64" item="0"/>
        </tpls>
      </n>
      <n v="408583011.16999996" in="0">
        <tpls c="4">
          <tpl fld="7" item="0"/>
          <tpl fld="8" item="5"/>
          <tpl fld="10" item="28"/>
          <tpl hier="64" item="0"/>
        </tpls>
      </n>
      <n v="96593091.64000003" in="0">
        <tpls c="4">
          <tpl fld="7" item="1"/>
          <tpl fld="8" item="5"/>
          <tpl fld="10" item="74"/>
          <tpl hier="64" item="0"/>
        </tpls>
      </n>
      <n v="0" in="1">
        <tpls c="4">
          <tpl fld="7" item="0"/>
          <tpl fld="8" item="3"/>
          <tpl fld="10" item="98"/>
          <tpl hier="64" item="0"/>
        </tpls>
      </n>
      <n v="0" in="1">
        <tpls c="4">
          <tpl fld="7" item="0"/>
          <tpl fld="8" item="4"/>
          <tpl fld="10" item="48"/>
          <tpl hier="64" item="0"/>
        </tpls>
      </n>
      <n v="0" in="1">
        <tpls c="4">
          <tpl fld="7" item="1"/>
          <tpl fld="8" item="4"/>
          <tpl fld="10" item="7"/>
          <tpl hier="64" item="0"/>
        </tpls>
      </n>
      <n v="53144" in="1">
        <tpls c="4">
          <tpl fld="7" item="0"/>
          <tpl fld="8" item="4"/>
          <tpl fld="10" item="94"/>
          <tpl hier="64" item="0"/>
        </tpls>
      </n>
      <n v="8179167.8899999987" in="0">
        <tpls c="4">
          <tpl fld="7" item="1"/>
          <tpl fld="8" item="5"/>
          <tpl fld="10" item="55"/>
          <tpl hier="64" item="0"/>
        </tpls>
      </n>
      <n v="348" in="1">
        <tpls c="4">
          <tpl fld="7" item="1"/>
          <tpl fld="8" item="4"/>
          <tpl fld="10" item="96"/>
          <tpl hier="64" item="0"/>
        </tpls>
      </n>
      <n v="31743" in="1">
        <tpls c="4">
          <tpl fld="7" item="0"/>
          <tpl fld="8" item="4"/>
          <tpl fld="10" item="62"/>
          <tpl hier="64" item="0"/>
        </tpls>
      </n>
      <n v="83131" in="1">
        <tpls c="4">
          <tpl fld="7" item="1"/>
          <tpl fld="8" item="3"/>
          <tpl fld="10" item="107"/>
          <tpl hier="64" item="0"/>
        </tpls>
      </n>
      <n v="1000" in="1">
        <tpls c="4">
          <tpl fld="7" item="1"/>
          <tpl fld="8" item="3"/>
          <tpl fld="10" item="50"/>
          <tpl hier="64" item="0"/>
        </tpls>
      </n>
      <n v="27226792.519999996" in="0">
        <tpls c="5">
          <tpl fld="1" item="7"/>
          <tpl fld="7" item="1"/>
          <tpl fld="8" item="0"/>
          <tpl fld="9" item="0"/>
          <tpl hier="64" item="0"/>
        </tpls>
      </n>
      <n v="70002815.899999991" in="0">
        <tpls c="4">
          <tpl fld="7" item="0"/>
          <tpl fld="8" item="0"/>
          <tpl fld="10" item="93"/>
          <tpl hier="64" item="0"/>
        </tpls>
      </n>
      <n v="1996642.16" in="0">
        <tpls c="4">
          <tpl fld="7" item="1"/>
          <tpl fld="8" item="5"/>
          <tpl fld="10" item="41"/>
          <tpl hier="64" item="0"/>
        </tpls>
      </n>
      <n v="17836" in="1">
        <tpls c="4">
          <tpl fld="7" item="1"/>
          <tpl fld="8" item="3"/>
          <tpl fld="10" item="79"/>
          <tpl hier="64" item="0"/>
        </tpls>
      </n>
      <n v="0" in="1">
        <tpls c="4">
          <tpl fld="7" item="1"/>
          <tpl fld="8" item="4"/>
          <tpl fld="10" item="36"/>
          <tpl hier="64" item="0"/>
        </tpls>
      </n>
      <n v="41" in="1">
        <tpls c="4">
          <tpl fld="7" item="0"/>
          <tpl fld="8" item="4"/>
          <tpl fld="10" item="50"/>
          <tpl hier="64" item="0"/>
        </tpls>
      </n>
      <n v="0" in="1">
        <tpls c="5">
          <tpl fld="1" item="4"/>
          <tpl fld="7" item="1"/>
          <tpl fld="8" item="3"/>
          <tpl fld="2" item="1"/>
          <tpl hier="64" item="0"/>
        </tpls>
      </n>
      <n v="17986413.109999999" in="0">
        <tpls c="4">
          <tpl fld="7" item="1"/>
          <tpl fld="8" item="0"/>
          <tpl fld="10" item="100"/>
          <tpl hier="64" item="0"/>
        </tpls>
      </n>
      <n v="0" in="0">
        <tpls c="2">
          <tpl fld="8" item="0"/>
          <tpl fld="10" item="16"/>
        </tpls>
      </n>
      <n v="48445" in="1">
        <tpls c="4">
          <tpl fld="7" item="1"/>
          <tpl fld="8" item="4"/>
          <tpl fld="2" item="1"/>
          <tpl hier="64" item="0"/>
        </tpls>
      </n>
      <n v="25947163.989999998" in="0">
        <tpls c="4">
          <tpl fld="7" item="1"/>
          <tpl fld="8" item="5"/>
          <tpl fld="10" item="3"/>
          <tpl hier="64" item="0"/>
        </tpls>
      </n>
      <n v="3534" in="1">
        <tpls c="4">
          <tpl fld="7" item="0"/>
          <tpl fld="8" item="3"/>
          <tpl fld="10" item="14"/>
          <tpl hier="64" item="0"/>
        </tpls>
      </n>
      <n v="438" in="1">
        <tpls c="4">
          <tpl fld="7" item="0"/>
          <tpl fld="8" item="3"/>
          <tpl fld="10" item="41"/>
          <tpl hier="64" item="0"/>
        </tpls>
      </n>
      <n v="170" in="1">
        <tpls c="4">
          <tpl fld="7" item="0"/>
          <tpl fld="8" item="3"/>
          <tpl fld="10" item="48"/>
          <tpl hier="64" item="0"/>
        </tpls>
      </n>
      <n v="131003204.53000011" in="0">
        <tpls c="2">
          <tpl fld="8" item="0"/>
          <tpl fld="10" item="2"/>
        </tpls>
      </n>
      <n v="27" in="1">
        <tpls c="4">
          <tpl fld="7" item="1"/>
          <tpl fld="8" item="3"/>
          <tpl fld="10" item="58"/>
          <tpl hier="64" item="0"/>
        </tpls>
      </n>
      <n v="139792275.20000002" in="0">
        <tpls c="4">
          <tpl fld="7" item="0"/>
          <tpl fld="8" item="0"/>
          <tpl fld="10" item="52"/>
          <tpl hier="64" item="0"/>
        </tpls>
      </n>
      <n v="590500772.95999992" in="0">
        <tpls c="2">
          <tpl fld="8" item="0"/>
          <tpl fld="10" item="5"/>
        </tpls>
      </n>
      <n v="308473.91000000003" in="0">
        <tpls c="4">
          <tpl fld="7" item="1"/>
          <tpl fld="8" item="5"/>
          <tpl fld="10" item="91"/>
          <tpl hier="64" item="0"/>
        </tpls>
      </n>
      <n v="19" in="1">
        <tpls c="4">
          <tpl fld="7" item="1"/>
          <tpl fld="8" item="4"/>
          <tpl fld="10" item="57"/>
          <tpl hier="64" item="0"/>
        </tpls>
      </n>
      <n v="1309" in="1">
        <tpls c="4">
          <tpl fld="7" item="1"/>
          <tpl fld="8" item="4"/>
          <tpl fld="10" item="55"/>
          <tpl hier="64" item="0"/>
        </tpls>
      </n>
      <n v="428" in="1">
        <tpls c="4">
          <tpl fld="7" item="0"/>
          <tpl fld="8" item="4"/>
          <tpl fld="10" item="72"/>
          <tpl hier="64" item="0"/>
        </tpls>
      </n>
      <n v="101048188.27000003" in="0">
        <tpls c="4">
          <tpl fld="7" item="1"/>
          <tpl fld="8" item="0"/>
          <tpl fld="10" item="67"/>
          <tpl hier="64" item="0"/>
        </tpls>
      </n>
      <n v="0" in="0">
        <tpls c="4">
          <tpl fld="7" item="0"/>
          <tpl fld="8" item="5"/>
          <tpl fld="10" item="15"/>
          <tpl hier="64" item="0"/>
        </tpls>
      </n>
      <n v="147" in="1">
        <tpls c="4">
          <tpl fld="7" item="1"/>
          <tpl fld="8" item="4"/>
          <tpl fld="10" item="80"/>
          <tpl hier="64" item="0"/>
        </tpls>
      </n>
      <n v="0" in="1">
        <tpls c="4">
          <tpl fld="7" item="1"/>
          <tpl fld="8" item="3"/>
          <tpl fld="10" item="36"/>
          <tpl hier="64" item="0"/>
        </tpls>
      </n>
      <n v="24180139.740000002" in="0">
        <tpls c="4">
          <tpl fld="7" item="1"/>
          <tpl fld="8" item="5"/>
          <tpl fld="10" item="54"/>
          <tpl hier="64" item="0"/>
        </tpls>
      </n>
      <n v="22" in="1">
        <tpls c="4">
          <tpl fld="7" item="0"/>
          <tpl fld="8" item="4"/>
          <tpl fld="10" item="42"/>
          <tpl hier="64" item="0"/>
        </tpls>
      </n>
      <n v="0" in="0">
        <tpls c="4">
          <tpl fld="7" item="0"/>
          <tpl fld="8" item="0"/>
          <tpl fld="10" item="44"/>
          <tpl hier="64" item="0"/>
        </tpls>
      </n>
      <n v="631" in="1">
        <tpls c="4">
          <tpl fld="7" item="1"/>
          <tpl fld="8" item="3"/>
          <tpl fld="10" item="56"/>
          <tpl hier="64" item="0"/>
        </tpls>
      </n>
      <n v="2152" in="1">
        <tpls c="4">
          <tpl fld="7" item="1"/>
          <tpl fld="8" item="3"/>
          <tpl fld="10" item="86"/>
          <tpl hier="64" item="0"/>
        </tpls>
      </n>
      <n v="763" in="1">
        <tpls c="4">
          <tpl fld="7" item="0"/>
          <tpl fld="8" item="3"/>
          <tpl fld="10" item="53"/>
          <tpl hier="64" item="0"/>
        </tpls>
      </n>
      <n v="13373822.660000002" in="0">
        <tpls c="4">
          <tpl fld="7" item="0"/>
          <tpl fld="8" item="0"/>
          <tpl fld="10" item="95"/>
          <tpl hier="64" item="0"/>
        </tpls>
      </n>
      <n v="6729" in="1">
        <tpls c="4">
          <tpl fld="7" item="0"/>
          <tpl fld="8" item="4"/>
          <tpl fld="10" item="107"/>
          <tpl hier="64" item="0"/>
        </tpls>
      </n>
      <n v="0" in="0">
        <tpls c="4">
          <tpl fld="7" item="0"/>
          <tpl fld="8" item="0"/>
          <tpl fld="10" item="106"/>
          <tpl hier="64" item="0"/>
        </tpls>
      </n>
      <n v="17793459.260000002" in="0">
        <tpls c="4">
          <tpl fld="7" item="1"/>
          <tpl fld="8" item="5"/>
          <tpl fld="10" item="89"/>
          <tpl hier="64" item="0"/>
        </tpls>
      </n>
      <n v="0" in="0">
        <tpls c="4">
          <tpl fld="7" item="0"/>
          <tpl fld="8" item="5"/>
          <tpl fld="10" item="36"/>
          <tpl hier="64" item="0"/>
        </tpls>
      </n>
      <n v="0" in="0">
        <tpls c="4">
          <tpl fld="7" item="1"/>
          <tpl fld="8" item="5"/>
          <tpl fld="10" item="58"/>
          <tpl hier="64" item="0"/>
        </tpls>
      </n>
      <n v="0" in="1">
        <tpls c="4">
          <tpl fld="7" item="1"/>
          <tpl fld="8" item="4"/>
          <tpl fld="10" item="110"/>
          <tpl hier="64" item="0"/>
        </tpls>
      </n>
      <n v="950" in="1">
        <tpls c="4">
          <tpl fld="7" item="1"/>
          <tpl fld="8" item="4"/>
          <tpl fld="10" item="108"/>
          <tpl hier="64" item="0"/>
        </tpls>
      </n>
      <n v="13583361.66" in="0">
        <tpls c="4">
          <tpl fld="7" item="0"/>
          <tpl fld="8" item="5"/>
          <tpl fld="10" item="95"/>
          <tpl hier="64" item="0"/>
        </tpls>
      </n>
      <n v="12" in="1">
        <tpls c="4">
          <tpl fld="7" item="1"/>
          <tpl fld="8" item="4"/>
          <tpl fld="10" item="87"/>
          <tpl hier="64" item="0"/>
        </tpls>
      </n>
      <n v="60" in="1">
        <tpls c="4">
          <tpl fld="7" item="1"/>
          <tpl fld="8" item="4"/>
          <tpl fld="10" item="73"/>
          <tpl hier="64" item="0"/>
        </tpls>
      </n>
      <n v="0" in="0">
        <tpls c="4">
          <tpl fld="7" item="1"/>
          <tpl fld="8" item="5"/>
          <tpl fld="10" item="7"/>
          <tpl hier="64" item="0"/>
        </tpls>
      </n>
      <n v="11042" in="1">
        <tpls c="4">
          <tpl fld="7" item="1"/>
          <tpl fld="8" item="3"/>
          <tpl fld="10" item="31"/>
          <tpl hier="64" item="0"/>
        </tpls>
      </n>
      <n v="907519.30999999994" in="0">
        <tpls c="4">
          <tpl fld="7" item="1"/>
          <tpl fld="8" item="5"/>
          <tpl fld="10" item="21"/>
          <tpl hier="64" item="0"/>
        </tpls>
      </n>
      <n v="0" in="1">
        <tpls c="4">
          <tpl fld="7" item="1"/>
          <tpl fld="8" item="4"/>
          <tpl fld="10" item="71"/>
          <tpl hier="64" item="0"/>
        </tpls>
      </n>
      <n v="7442770.4800000004" in="0">
        <tpls c="4">
          <tpl fld="7" item="1"/>
          <tpl fld="8" item="0"/>
          <tpl fld="10" item="39"/>
          <tpl hier="64" item="0"/>
        </tpls>
      </n>
      <n v="65653.319999999992" in="0">
        <tpls c="4">
          <tpl fld="7" item="1"/>
          <tpl fld="8" item="5"/>
          <tpl fld="10" item="48"/>
          <tpl hier="64" item="0"/>
        </tpls>
      </n>
      <n v="1226" in="1">
        <tpls c="4">
          <tpl fld="7" item="0"/>
          <tpl fld="8" item="3"/>
          <tpl fld="10" item="50"/>
          <tpl hier="64" item="0"/>
        </tpls>
      </n>
      <n v="1991" in="1">
        <tpls c="4">
          <tpl fld="7" item="1"/>
          <tpl fld="8" item="3"/>
          <tpl fld="10" item="76"/>
          <tpl hier="64" item="0"/>
        </tpls>
      </n>
      <n v="8555" in="1">
        <tpls c="4">
          <tpl fld="7" item="1"/>
          <tpl fld="8" item="3"/>
          <tpl fld="10" item="70"/>
          <tpl hier="64" item="0"/>
        </tpls>
      </n>
      <n v="1983530.71" in="0">
        <tpls c="4">
          <tpl fld="7" item="1"/>
          <tpl fld="8" item="5"/>
          <tpl fld="10" item="26"/>
          <tpl hier="64" item="0"/>
        </tpls>
      </n>
      <n v="0" in="1">
        <tpls c="4">
          <tpl fld="7" item="1"/>
          <tpl fld="8" item="3"/>
          <tpl fld="10" item="106"/>
          <tpl hier="64" item="0"/>
        </tpls>
      </n>
      <n v="13886565.510000002" in="0">
        <tpls c="5">
          <tpl fld="1" item="0"/>
          <tpl fld="7" item="1"/>
          <tpl fld="8" item="0"/>
          <tpl fld="9" item="1"/>
          <tpl hier="64" item="0"/>
        </tpls>
      </n>
      <n v="2278" in="1">
        <tpls c="4">
          <tpl fld="7" item="1"/>
          <tpl fld="8" item="3"/>
          <tpl fld="10" item="88"/>
          <tpl hier="64" item="0"/>
        </tpls>
      </n>
      <n v="3714" in="1">
        <tpls c="4">
          <tpl fld="7" item="0"/>
          <tpl fld="8" item="3"/>
          <tpl fld="10" item="46"/>
          <tpl hier="64" item="0"/>
        </tpls>
      </n>
      <n v="3160" in="1">
        <tpls c="4">
          <tpl fld="7" item="0"/>
          <tpl fld="8" item="3"/>
          <tpl fld="10" item="88"/>
          <tpl hier="64" item="0"/>
        </tpls>
      </n>
      <n v="5143" in="1">
        <tpls c="4">
          <tpl fld="7" item="0"/>
          <tpl fld="8" item="3"/>
          <tpl fld="10" item="13"/>
          <tpl hier="64" item="0"/>
        </tpls>
      </n>
      <n v="16" in="1">
        <tpls c="4">
          <tpl fld="7" item="1"/>
          <tpl fld="8" item="4"/>
          <tpl fld="10" item="105"/>
          <tpl hier="64" item="0"/>
        </tpls>
      </n>
      <n v="12215" in="1">
        <tpls c="4">
          <tpl fld="7" item="1"/>
          <tpl fld="8" item="4"/>
          <tpl fld="10" item="19"/>
          <tpl hier="64" item="0"/>
        </tpls>
      </n>
      <n v="280732" in="1">
        <tpls c="4">
          <tpl fld="7" item="1"/>
          <tpl fld="8" item="3"/>
          <tpl fld="10" item="93"/>
          <tpl hier="64" item="0"/>
        </tpls>
      </n>
      <n v="46116885184.880043" in="0">
        <tpls c="2">
          <tpl fld="8" item="0"/>
          <tpl fld="3" item="12"/>
        </tpls>
      </n>
      <n v="0" in="1">
        <tpls c="4">
          <tpl fld="7" item="1"/>
          <tpl fld="8" item="4"/>
          <tpl fld="10" item="60"/>
          <tpl hier="64" item="0"/>
        </tpls>
      </n>
      <n v="9014" in="1">
        <tpls c="4">
          <tpl fld="7" item="0"/>
          <tpl fld="8" item="4"/>
          <tpl fld="10" item="23"/>
          <tpl hier="64" item="0"/>
        </tpls>
      </n>
      <n v="0" in="1">
        <tpls c="4">
          <tpl fld="7" item="1"/>
          <tpl fld="8" item="3"/>
          <tpl fld="10" item="98"/>
          <tpl hier="64" item="0"/>
        </tpls>
      </n>
      <n v="18491492.369999997" in="0">
        <tpls c="4">
          <tpl fld="7" item="1"/>
          <tpl fld="8" item="5"/>
          <tpl fld="10" item="72"/>
          <tpl hier="64" item="0"/>
        </tpls>
      </n>
      <n v="114506" in="1">
        <tpls c="4">
          <tpl fld="7" item="0"/>
          <tpl fld="8" item="3"/>
          <tpl fld="10" item="99"/>
          <tpl hier="64" item="0"/>
        </tpls>
      </n>
      <n v="141767485.52000001" in="0">
        <tpls c="4">
          <tpl fld="7" item="1"/>
          <tpl fld="8" item="0"/>
          <tpl fld="10" item="74"/>
          <tpl hier="64" item="0"/>
        </tpls>
      </n>
      <n v="136447" in="1">
        <tpls c="4">
          <tpl fld="7" item="0"/>
          <tpl fld="8" item="3"/>
          <tpl fld="10" item="12"/>
          <tpl hier="64" item="0"/>
        </tpls>
      </n>
      <n v="0" in="0">
        <tpls c="4">
          <tpl fld="7" item="0"/>
          <tpl fld="8" item="0"/>
          <tpl fld="10" item="36"/>
          <tpl hier="64" item="0"/>
        </tpls>
      </n>
      <n v="1438" in="1">
        <tpls c="4">
          <tpl fld="7" item="1"/>
          <tpl fld="8" item="4"/>
          <tpl fld="10" item="54"/>
          <tpl hier="64" item="0"/>
        </tpls>
      </n>
      <n v="17896.55" in="0">
        <tpls c="4">
          <tpl fld="7" item="0"/>
          <tpl fld="8" item="5"/>
          <tpl fld="10" item="42"/>
          <tpl hier="64" item="0"/>
        </tpls>
      </n>
      <n v="527749.98" in="0">
        <tpls c="4">
          <tpl fld="7" item="1"/>
          <tpl fld="8" item="0"/>
          <tpl fld="10" item="44"/>
          <tpl hier="64" item="0"/>
        </tpls>
      </n>
      <n v="1844505139.0899999" in="0">
        <tpls c="4">
          <tpl fld="7" item="0"/>
          <tpl fld="8" item="0"/>
          <tpl fld="10" item="94"/>
          <tpl hier="64" item="0"/>
        </tpls>
      </n>
      <n v="474" in="1">
        <tpls c="4">
          <tpl fld="7" item="0"/>
          <tpl fld="8" item="3"/>
          <tpl fld="10" item="56"/>
          <tpl hier="64" item="0"/>
        </tpls>
      </n>
      <n v="811120.97" in="0">
        <tpls c="4">
          <tpl fld="7" item="1"/>
          <tpl fld="8" item="0"/>
          <tpl fld="10" item="86"/>
          <tpl hier="64" item="0"/>
        </tpls>
      </n>
      <n v="3554123.54" in="0">
        <tpls c="4">
          <tpl fld="7" item="1"/>
          <tpl fld="8" item="0"/>
          <tpl fld="10" item="87"/>
          <tpl hier="64" item="0"/>
        </tpls>
      </n>
      <n v="12444148.520000001" in="0">
        <tpls c="4">
          <tpl fld="7" item="1"/>
          <tpl fld="8" item="0"/>
          <tpl fld="10" item="95"/>
          <tpl hier="64" item="0"/>
        </tpls>
      </n>
      <n v="7603" in="1">
        <tpls c="4">
          <tpl fld="7" item="1"/>
          <tpl fld="8" item="4"/>
          <tpl fld="10" item="107"/>
          <tpl hier="64" item="0"/>
        </tpls>
      </n>
      <n v="10797" in="1">
        <tpls c="4">
          <tpl fld="7" item="1"/>
          <tpl fld="8" item="3"/>
          <tpl fld="10" item="5"/>
          <tpl hier="64" item="0"/>
        </tpls>
      </n>
      <n v="286749.84000000003" in="0">
        <tpls c="4">
          <tpl fld="7" item="0"/>
          <tpl fld="8" item="5"/>
          <tpl fld="10" item="97"/>
          <tpl hier="64" item="0"/>
        </tpls>
      </n>
      <n v="0" in="1">
        <tpls c="4">
          <tpl fld="7" item="0"/>
          <tpl fld="8" item="4"/>
          <tpl fld="10" item="110"/>
          <tpl hier="64" item="0"/>
        </tpls>
      </n>
      <n v="1226" in="1">
        <tpls c="4">
          <tpl fld="7" item="0"/>
          <tpl fld="8" item="4"/>
          <tpl fld="10" item="108"/>
          <tpl hier="64" item="0"/>
        </tpls>
      </n>
      <n v="11559428.950000001" in="0">
        <tpls c="4">
          <tpl fld="7" item="1"/>
          <tpl fld="8" item="5"/>
          <tpl fld="10" item="95"/>
          <tpl hier="64" item="0"/>
        </tpls>
      </n>
      <n v="218732.47000000003" in="0">
        <tpls c="4">
          <tpl fld="7" item="0"/>
          <tpl fld="8" item="5"/>
          <tpl fld="10" item="73"/>
          <tpl hier="64" item="0"/>
        </tpls>
      </n>
      <n v="1241653860.8799992" in="0">
        <tpls c="2">
          <tpl fld="8" item="0"/>
          <tpl fld="10" item="108"/>
        </tpls>
      </n>
      <n v="424" in="1">
        <tpls c="4">
          <tpl fld="7" item="0"/>
          <tpl fld="8" item="4"/>
          <tpl fld="10" item="96"/>
          <tpl hier="64" item="0"/>
        </tpls>
      </n>
      <n v="96010522.049999997" in="0">
        <tpls c="5">
          <tpl fld="1" item="4"/>
          <tpl fld="7" item="1"/>
          <tpl fld="8" item="0"/>
          <tpl hier="60" item="4294967295"/>
          <tpl hier="64" item="0"/>
        </tpls>
      </n>
      <n v="29" in="1">
        <tpls c="4">
          <tpl fld="7" item="0"/>
          <tpl fld="8" item="4"/>
          <tpl fld="10" item="57"/>
          <tpl hier="64" item="0"/>
        </tpls>
      </n>
      <n v="3513361.5299999993" in="0">
        <tpls c="4">
          <tpl fld="7" item="1"/>
          <tpl fld="8" item="0"/>
          <tpl fld="10" item="65"/>
          <tpl hier="64" item="0"/>
        </tpls>
      </n>
      <n v="8000" in="0">
        <tpls c="4">
          <tpl fld="7" item="1"/>
          <tpl fld="8" item="5"/>
          <tpl fld="10" item="4"/>
          <tpl hier="64" item="0"/>
        </tpls>
      </n>
      <n v="0" in="1">
        <tpls c="4">
          <tpl fld="7" item="1"/>
          <tpl fld="8" item="4"/>
          <tpl fld="3" item="1"/>
          <tpl hier="64" item="0"/>
        </tpls>
      </n>
      <n v="1600198.0000000002" in="0">
        <tpls c="4">
          <tpl fld="7" item="1"/>
          <tpl fld="8" item="5"/>
          <tpl fld="10" item="13"/>
          <tpl hier="64" item="0"/>
        </tpls>
      </n>
      <n v="4210825.78" in="0">
        <tpls c="4">
          <tpl fld="7" item="0"/>
          <tpl fld="8" item="5"/>
          <tpl fld="10" item="100"/>
          <tpl hier="64" item="0"/>
        </tpls>
      </n>
      <n v="843177977.24000084" in="0">
        <tpls c="2">
          <tpl fld="8" item="0"/>
          <tpl fld="3" item="13"/>
        </tpls>
      </n>
      <n v="4" in="1">
        <tpls c="4">
          <tpl fld="7" item="1"/>
          <tpl fld="8" item="4"/>
          <tpl fld="3" item="17"/>
          <tpl hier="64" item="0"/>
        </tpls>
      </n>
      <n v="9" in="1">
        <tpls c="4">
          <tpl fld="7" item="0"/>
          <tpl fld="8" item="4"/>
          <tpl fld="10" item="49"/>
          <tpl hier="64" item="0"/>
        </tpls>
      </n>
      <n v="4345235.42" in="0">
        <tpls c="4">
          <tpl fld="7" item="1"/>
          <tpl fld="8" item="0"/>
          <tpl fld="10" item="56"/>
          <tpl hier="64" item="0"/>
        </tpls>
      </n>
      <n v="5705525.0199999996" in="0">
        <tpls c="4">
          <tpl fld="7" item="0"/>
          <tpl fld="8" item="5"/>
          <tpl fld="10" item="6"/>
          <tpl hier="64" item="0"/>
        </tpls>
      </n>
      <n v="1990867728.5199997" in="0">
        <tpls c="2">
          <tpl fld="8" item="0"/>
          <tpl fld="10" item="54"/>
        </tpls>
      </n>
      <n v="287217643.86000007" in="0">
        <tpls c="5">
          <tpl fld="1" item="6"/>
          <tpl fld="7" item="1"/>
          <tpl fld="8" item="0"/>
          <tpl hier="60" item="4294967295"/>
          <tpl hier="64" item="0"/>
        </tpls>
      </n>
      <n v="5554263520.5700006" in="0">
        <tpls c="2">
          <tpl fld="8" item="0"/>
          <tpl fld="3" item="23"/>
        </tpls>
      </n>
      <n v="0" in="1">
        <tpls c="4">
          <tpl fld="7" item="1"/>
          <tpl fld="8" item="4"/>
          <tpl fld="10" item="32"/>
          <tpl hier="64" item="0"/>
        </tpls>
      </n>
      <n v="0" in="1">
        <tpls c="4">
          <tpl fld="7" item="0"/>
          <tpl fld="8" item="3"/>
          <tpl fld="10" item="101"/>
          <tpl hier="64" item="0"/>
        </tpls>
      </n>
      <n v="3101722.66" in="0">
        <tpls c="4">
          <tpl fld="7" item="0"/>
          <tpl fld="8" item="5"/>
          <tpl fld="10" item="84"/>
          <tpl hier="64" item="0"/>
        </tpls>
      </n>
      <n v="37877" in="1">
        <tpls c="4">
          <tpl fld="7" item="1"/>
          <tpl fld="8" item="3"/>
          <tpl fld="10" item="54"/>
          <tpl hier="64" item="0"/>
        </tpls>
      </n>
      <m>
        <tpls c="5">
          <tpl fld="1" item="12"/>
          <tpl fld="7" item="1"/>
          <tpl fld="8" item="0"/>
          <tpl fld="9" item="0"/>
          <tpl hier="64" item="0"/>
        </tpls>
      </m>
      <n v="1812852377.7300003" in="0">
        <tpls c="4">
          <tpl fld="7" item="1"/>
          <tpl fld="8" item="0"/>
          <tpl fld="2" item="1"/>
          <tpl hier="64" item="0"/>
        </tpls>
      </n>
      <n v="62530" in="1">
        <tpls c="4">
          <tpl fld="7" item="1"/>
          <tpl fld="8" item="3"/>
          <tpl fld="10" item="23"/>
          <tpl hier="64" item="0"/>
        </tpls>
      </n>
      <n v="11" in="1">
        <tpls c="4">
          <tpl fld="7" item="1"/>
          <tpl fld="8" item="3"/>
          <tpl fld="10" item="60"/>
          <tpl hier="64" item="0"/>
        </tpls>
      </n>
      <n v="3246371.4000000004" in="0">
        <tpls c="4">
          <tpl fld="7" item="1"/>
          <tpl fld="8" item="0"/>
          <tpl fld="10" item="79"/>
          <tpl hier="64" item="0"/>
        </tpls>
      </n>
      <n v="30444" in="1">
        <tpls c="4">
          <tpl fld="7" item="1"/>
          <tpl fld="8" item="3"/>
          <tpl fld="10" item="52"/>
          <tpl hier="64" item="0"/>
        </tpls>
      </n>
      <n v="918028129.1500001" in="0">
        <tpls c="4">
          <tpl fld="7" item="1"/>
          <tpl fld="8" item="5"/>
          <tpl fld="10" item="62"/>
          <tpl hier="64" item="0"/>
        </tpls>
      </n>
      <n v="0" in="0">
        <tpls c="4">
          <tpl fld="7" item="1"/>
          <tpl fld="8" item="5"/>
          <tpl fld="10" item="22"/>
          <tpl hier="64" item="0"/>
        </tpls>
      </n>
      <n v="34" in="1">
        <tpls c="4">
          <tpl fld="7" item="0"/>
          <tpl fld="8" item="3"/>
          <tpl fld="10" item="4"/>
          <tpl hier="64" item="0"/>
        </tpls>
      </n>
      <n v="67" in="1">
        <tpls c="4">
          <tpl fld="7" item="1"/>
          <tpl fld="8" item="4"/>
          <tpl fld="10" item="95"/>
          <tpl hier="64" item="0"/>
        </tpls>
      </n>
      <n v="60155657.030000001" in="0">
        <tpls c="4">
          <tpl fld="7" item="0"/>
          <tpl fld="8" item="5"/>
          <tpl fld="10" item="12"/>
          <tpl hier="64" item="0"/>
        </tpls>
      </n>
      <n v="13802902.369999997" in="0">
        <tpls c="4">
          <tpl fld="7" item="1"/>
          <tpl fld="8" item="0"/>
          <tpl fld="10" item="50"/>
          <tpl hier="64" item="0"/>
        </tpls>
      </n>
      <n v="67" in="1">
        <tpls c="4">
          <tpl fld="7" item="1"/>
          <tpl fld="8" item="4"/>
          <tpl fld="10" item="20"/>
          <tpl hier="64" item="0"/>
        </tpls>
      </n>
      <n v="4122497.4699999993" in="0">
        <tpls c="4">
          <tpl fld="7" item="0"/>
          <tpl fld="8" item="5"/>
          <tpl fld="10" item="33"/>
          <tpl hier="64" item="0"/>
        </tpls>
      </n>
      <n v="81918.570000000022" in="0">
        <tpls c="4">
          <tpl fld="7" item="1"/>
          <tpl fld="8" item="0"/>
          <tpl fld="10" item="58"/>
          <tpl hier="64" item="0"/>
        </tpls>
      </n>
      <n v="1795" in="1">
        <tpls c="4">
          <tpl fld="7" item="1"/>
          <tpl fld="8" item="4"/>
          <tpl fld="10" item="67"/>
          <tpl hier="64" item="0"/>
        </tpls>
      </n>
      <n v="0" in="0">
        <tpls c="4">
          <tpl fld="7" item="0"/>
          <tpl fld="8" item="5"/>
          <tpl fld="10" item="24"/>
          <tpl hier="64" item="0"/>
        </tpls>
      </n>
      <n v="73341.17" in="0">
        <tpls c="4">
          <tpl fld="7" item="1"/>
          <tpl fld="8" item="5"/>
          <tpl fld="10" item="86"/>
          <tpl hier="64" item="0"/>
        </tpls>
      </n>
      <n v="636" in="1">
        <tpls c="4">
          <tpl fld="7" item="0"/>
          <tpl fld="8" item="4"/>
          <tpl fld="10" item="30"/>
          <tpl hier="64" item="0"/>
        </tpls>
      </n>
      <n v="106963.23" in="0">
        <tpls c="4">
          <tpl fld="7" item="0"/>
          <tpl fld="8" item="5"/>
          <tpl fld="10" item="27"/>
          <tpl hier="64" item="0"/>
        </tpls>
      </n>
      <n v="55804" in="1">
        <tpls c="4">
          <tpl fld="7" item="1"/>
          <tpl fld="8" item="4"/>
          <tpl fld="10" item="94"/>
          <tpl hier="64" item="0"/>
        </tpls>
      </n>
      <n v="457" in="1">
        <tpls c="4">
          <tpl fld="7" item="1"/>
          <tpl fld="8" item="4"/>
          <tpl fld="10" item="72"/>
          <tpl hier="64" item="0"/>
        </tpls>
      </n>
      <n v="17338" in="1">
        <tpls c="4">
          <tpl fld="7" item="1"/>
          <tpl fld="8" item="3"/>
          <tpl fld="10" item="67"/>
          <tpl hier="64" item="0"/>
        </tpls>
      </n>
      <n v="1307.3699999999999" in="0">
        <tpls c="4">
          <tpl fld="7" item="0"/>
          <tpl fld="8" item="0"/>
          <tpl fld="10" item="24"/>
          <tpl hier="64" item="0"/>
        </tpls>
      </n>
      <n v="1620" in="1">
        <tpls c="4">
          <tpl fld="7" item="1"/>
          <tpl fld="8" item="4"/>
          <tpl fld="10" item="63"/>
          <tpl hier="64" item="0"/>
        </tpls>
      </n>
      <n v="7349" in="1">
        <tpls c="4">
          <tpl fld="7" item="0"/>
          <tpl fld="8" item="3"/>
          <tpl fld="10" item="78"/>
          <tpl hier="64" item="0"/>
        </tpls>
      </n>
      <n v="2628917.4200000004" in="0">
        <tpls c="4">
          <tpl fld="7" item="1"/>
          <tpl fld="8" item="5"/>
          <tpl fld="10" item="80"/>
          <tpl hier="64" item="0"/>
        </tpls>
      </n>
      <n v="8683839.8999999985" in="0">
        <tpls c="4">
          <tpl fld="7" item="1"/>
          <tpl fld="8" item="5"/>
          <tpl fld="10" item="64"/>
          <tpl hier="64" item="0"/>
        </tpls>
      </n>
      <n v="416091.31" in="0">
        <tpls c="4">
          <tpl fld="7" item="0"/>
          <tpl fld="8" item="5"/>
          <tpl fld="10" item="9"/>
          <tpl hier="64" item="0"/>
        </tpls>
      </n>
      <n v="3922" in="1">
        <tpls c="4">
          <tpl fld="7" item="1"/>
          <tpl fld="8" item="3"/>
          <tpl fld="10" item="46"/>
          <tpl hier="64" item="0"/>
        </tpls>
      </n>
      <n v="2983238.2099999995" in="0">
        <tpls c="4">
          <tpl fld="7" item="1"/>
          <tpl fld="8" item="5"/>
          <tpl fld="10" item="38"/>
          <tpl hier="64" item="0"/>
        </tpls>
      </n>
      <n v="24814216.939999998" in="0">
        <tpls c="4">
          <tpl fld="7" item="0"/>
          <tpl fld="8" item="5"/>
          <tpl fld="10" item="54"/>
          <tpl hier="64" item="0"/>
        </tpls>
      </n>
      <n v="58965" in="1">
        <tpls c="4">
          <tpl fld="7" item="0"/>
          <tpl fld="8" item="4"/>
          <tpl fld="10" item="109"/>
          <tpl hier="64" item="0"/>
        </tpls>
      </n>
      <n v="347322.13999999996" in="0">
        <tpls c="4">
          <tpl fld="7" item="1"/>
          <tpl fld="8" item="0"/>
          <tpl fld="10" item="103"/>
          <tpl hier="64" item="0"/>
        </tpls>
      </n>
      <n v="51" in="1">
        <tpls c="4">
          <tpl fld="7" item="1"/>
          <tpl fld="8" item="4"/>
          <tpl fld="10" item="42"/>
          <tpl hier="64" item="0"/>
        </tpls>
      </n>
      <n v="291" in="1">
        <tpls c="4">
          <tpl fld="7" item="0"/>
          <tpl fld="8" item="4"/>
          <tpl fld="10" item="43"/>
          <tpl hier="64" item="0"/>
        </tpls>
      </n>
      <n v="6259855.1499999994" in="0">
        <tpls c="4">
          <tpl fld="7" item="0"/>
          <tpl fld="8" item="0"/>
          <tpl fld="10" item="84"/>
          <tpl hier="64" item="0"/>
        </tpls>
      </n>
      <n v="0" in="1">
        <tpls c="4">
          <tpl fld="7" item="1"/>
          <tpl fld="8" item="3"/>
          <tpl fld="10" item="101"/>
          <tpl hier="64" item="0"/>
        </tpls>
      </n>
      <n v="3453678.72" in="0">
        <tpls c="4">
          <tpl fld="7" item="0"/>
          <tpl fld="8" item="0"/>
          <tpl fld="10" item="56"/>
          <tpl hier="64" item="0"/>
        </tpls>
      </n>
      <n v="136" in="1">
        <tpls c="4">
          <tpl fld="7" item="0"/>
          <tpl fld="8" item="4"/>
          <tpl fld="10" item="105"/>
          <tpl hier="64" item="0"/>
        </tpls>
      </n>
      <n v="898406.58000000007" in="0">
        <tpls c="4">
          <tpl fld="7" item="0"/>
          <tpl fld="8" item="0"/>
          <tpl fld="10" item="86"/>
          <tpl hier="64" item="0"/>
        </tpls>
      </n>
      <n v="6158" in="1">
        <tpls c="4">
          <tpl fld="7" item="0"/>
          <tpl fld="8" item="4"/>
          <tpl fld="10" item="51"/>
          <tpl hier="64" item="0"/>
        </tpls>
      </n>
      <n v="1062" in="1">
        <tpls c="4">
          <tpl fld="7" item="1"/>
          <tpl fld="8" item="3"/>
          <tpl fld="10" item="53"/>
          <tpl hier="64" item="0"/>
        </tpls>
      </n>
      <n v="83147" in="1">
        <tpls c="4">
          <tpl fld="7" item="0"/>
          <tpl fld="8" item="3"/>
          <tpl fld="10" item="30"/>
          <tpl hier="64" item="0"/>
        </tpls>
      </n>
      <n v="3174173.66" in="0">
        <tpls c="4">
          <tpl fld="7" item="0"/>
          <tpl fld="8" item="0"/>
          <tpl fld="10" item="43"/>
          <tpl hier="64" item="0"/>
        </tpls>
      </n>
      <n v="27202" in="1">
        <tpls c="4">
          <tpl fld="7" item="1"/>
          <tpl fld="8" item="3"/>
          <tpl fld="10" item="61"/>
          <tpl hier="64" item="0"/>
        </tpls>
      </n>
      <n v="31528" in="1">
        <tpls c="4">
          <tpl fld="7" item="0"/>
          <tpl fld="8" item="3"/>
          <tpl fld="10" item="108"/>
          <tpl hier="64" item="0"/>
        </tpls>
      </n>
      <n v="1533304.2500000002" in="0">
        <tpls c="4">
          <tpl fld="7" item="0"/>
          <tpl fld="8" item="0"/>
          <tpl fld="10" item="81"/>
          <tpl hier="64" item="0"/>
        </tpls>
      </n>
      <n v="4022746.9499999997" in="0">
        <tpls c="4">
          <tpl fld="7" item="1"/>
          <tpl fld="8" item="5"/>
          <tpl fld="10" item="2"/>
          <tpl hier="64" item="0"/>
        </tpls>
      </n>
      <n v="0" in="1">
        <tpls c="4">
          <tpl fld="7" item="0"/>
          <tpl fld="8" item="3"/>
          <tpl fld="10" item="106"/>
          <tpl hier="64" item="0"/>
        </tpls>
      </n>
      <n v="4" in="1">
        <tpls c="4">
          <tpl fld="7" item="1"/>
          <tpl fld="8" item="4"/>
          <tpl fld="10" item="88"/>
          <tpl hier="64" item="0"/>
        </tpls>
      </n>
      <n v="2382" in="1">
        <tpls c="4">
          <tpl fld="7" item="1"/>
          <tpl fld="8" item="4"/>
          <tpl fld="10" item="89"/>
          <tpl hier="64" item="0"/>
        </tpls>
      </n>
      <n v="0" in="0">
        <tpls c="4">
          <tpl fld="7" item="1"/>
          <tpl fld="8" item="5"/>
          <tpl fld="10" item="36"/>
          <tpl hier="64" item="0"/>
        </tpls>
      </n>
      <n v="23159" in="1">
        <tpls c="4">
          <tpl fld="7" item="0"/>
          <tpl fld="8" item="3"/>
          <tpl fld="10" item="96"/>
          <tpl hier="64" item="0"/>
        </tpls>
      </n>
      <n v="0" in="0">
        <tpls c="4">
          <tpl fld="7" item="0"/>
          <tpl fld="8" item="5"/>
          <tpl fld="10" item="44"/>
          <tpl hier="64" item="0"/>
        </tpls>
      </n>
      <n v="55.379999999999995" in="0">
        <tpls c="4">
          <tpl fld="7" item="1"/>
          <tpl fld="8" item="0"/>
          <tpl fld="10" item="22"/>
          <tpl hier="64" item="0"/>
        </tpls>
      </n>
      <n v="774.16" in="0">
        <tpls c="4">
          <tpl fld="7" item="0"/>
          <tpl fld="8" item="5"/>
          <tpl fld="10" item="58"/>
          <tpl hier="64" item="0"/>
        </tpls>
      </n>
      <n v="90538.540000000008" in="0">
        <tpls c="4">
          <tpl fld="7" item="1"/>
          <tpl fld="8" item="5"/>
          <tpl fld="10" item="81"/>
          <tpl hier="64" item="0"/>
        </tpls>
      </n>
      <n v="0" in="0">
        <tpls c="4">
          <tpl fld="7" item="1"/>
          <tpl fld="8" item="5"/>
          <tpl fld="10" item="110"/>
          <tpl hier="64" item="0"/>
        </tpls>
      </n>
      <n v="13" in="1">
        <tpls c="4">
          <tpl fld="7" item="1"/>
          <tpl fld="8" item="4"/>
          <tpl fld="10" item="49"/>
          <tpl hier="64" item="0"/>
        </tpls>
      </n>
      <n v="17493609.450000003" in="0">
        <tpls c="4">
          <tpl fld="7" item="1"/>
          <tpl fld="8" item="5"/>
          <tpl fld="10" item="108"/>
          <tpl hier="64" item="0"/>
        </tpls>
      </n>
      <n v="7776755.0200000014" in="0">
        <tpls c="4">
          <tpl fld="7" item="0"/>
          <tpl fld="8" item="0"/>
          <tpl fld="10" item="73"/>
          <tpl hier="64" item="0"/>
        </tpls>
      </n>
      <n v="7264.18" in="0">
        <tpls c="4">
          <tpl fld="7" item="1"/>
          <tpl fld="8" item="0"/>
          <tpl fld="10" item="71"/>
          <tpl hier="64" item="0"/>
        </tpls>
      </n>
      <n v="369891.64" in="0">
        <tpls c="4">
          <tpl fld="7" item="0"/>
          <tpl fld="8" item="5"/>
          <tpl fld="10" item="87"/>
          <tpl hier="64" item="0"/>
        </tpls>
      </n>
      <n v="26925606.379999999" in="0">
        <tpls c="4">
          <tpl fld="7" item="0"/>
          <tpl fld="8" item="0"/>
          <tpl fld="10" item="88"/>
          <tpl hier="64" item="0"/>
        </tpls>
      </n>
      <n v="3683995.9099999997" in="0">
        <tpls c="4">
          <tpl fld="7" item="1"/>
          <tpl fld="8" item="0"/>
          <tpl fld="10" item="102"/>
          <tpl hier="64" item="0"/>
        </tpls>
      </n>
      <n v="80272458.989999995" in="0">
        <tpls c="4">
          <tpl fld="7" item="0"/>
          <tpl fld="8" item="5"/>
          <tpl fld="10" item="74"/>
          <tpl hier="64" item="0"/>
        </tpls>
      </n>
      <n v="34" in="1">
        <tpls c="4">
          <tpl fld="7" item="0"/>
          <tpl fld="8" item="4"/>
          <tpl fld="10" item="73"/>
          <tpl hier="64" item="0"/>
        </tpls>
      </n>
      <n v="0" in="1">
        <tpls c="4">
          <tpl fld="7" item="0"/>
          <tpl fld="8" item="4"/>
          <tpl fld="10" item="7"/>
          <tpl hier="64" item="0"/>
        </tpls>
      </n>
      <n v="773753209.13" in="0">
        <tpls c="4">
          <tpl fld="7" item="1"/>
          <tpl fld="8" item="5"/>
          <tpl fld="10" item="94"/>
          <tpl hier="64" item="0"/>
        </tpls>
      </n>
      <n v="318079596.17000049" in="0">
        <tpls c="2">
          <tpl fld="8" item="0"/>
          <tpl fld="3" item="24"/>
        </tpls>
      </n>
      <n v="114745" in="1">
        <tpls c="5">
          <tpl fld="1" item="4"/>
          <tpl fld="7" item="1"/>
          <tpl fld="8" item="3"/>
          <tpl hier="54" item="4294967295"/>
          <tpl hier="64" item="0"/>
        </tpls>
      </n>
      <n v="512864" in="1">
        <tpls c="5">
          <tpl fld="1" item="1"/>
          <tpl fld="7" item="1"/>
          <tpl fld="8" item="3"/>
          <tpl fld="2" item="0"/>
          <tpl hier="64" item="0"/>
        </tpls>
      </n>
      <n v="45056878.040000007" in="0">
        <tpls c="4">
          <tpl fld="7" item="0"/>
          <tpl fld="8" item="0"/>
          <tpl fld="10" item="63"/>
          <tpl hier="64" item="0"/>
        </tpls>
      </n>
      <n v="1499445.7999999998" in="0">
        <tpls c="4">
          <tpl fld="7" item="0"/>
          <tpl fld="8" item="5"/>
          <tpl fld="10" item="96"/>
          <tpl hier="64" item="0"/>
        </tpls>
      </n>
      <n v="16380" in="1">
        <tpls c="4">
          <tpl fld="7" item="0"/>
          <tpl fld="8" item="3"/>
          <tpl fld="10" item="1"/>
          <tpl hier="64" item="0"/>
        </tpls>
      </n>
      <n v="79459.73" in="0">
        <tpls c="4">
          <tpl fld="7" item="0"/>
          <tpl fld="8" item="0"/>
          <tpl fld="10" item="0"/>
          <tpl hier="64" item="0"/>
        </tpls>
      </n>
      <n v="21248425.109999999" in="0">
        <tpls c="4">
          <tpl fld="7" item="1"/>
          <tpl fld="8" item="5"/>
          <tpl fld="10" item="93"/>
          <tpl hier="64" item="0"/>
        </tpls>
      </n>
      <n v="11652" in="1">
        <tpls c="4">
          <tpl fld="7" item="0"/>
          <tpl fld="8" item="4"/>
          <tpl fld="10" item="19"/>
          <tpl hier="64" item="0"/>
        </tpls>
      </n>
      <n v="139430760.29999998" in="0">
        <tpls c="4">
          <tpl fld="7" item="0"/>
          <tpl fld="8" item="0"/>
          <tpl fld="10" item="107"/>
          <tpl hier="64" item="0"/>
        </tpls>
      </n>
      <n v="390" in="1">
        <tpls c="4">
          <tpl fld="7" item="1"/>
          <tpl fld="8" item="3"/>
          <tpl fld="10" item="91"/>
          <tpl hier="64" item="0"/>
        </tpls>
      </n>
      <n v="0" in="1">
        <tpls c="4">
          <tpl fld="7" item="1"/>
          <tpl fld="8" item="4"/>
          <tpl fld="10" item="98"/>
          <tpl hier="64" item="0"/>
        </tpls>
      </n>
      <n v="127" in="1">
        <tpls c="4">
          <tpl fld="7" item="0"/>
          <tpl fld="8" item="4"/>
          <tpl fld="10" item="1"/>
          <tpl hier="64" item="0"/>
        </tpls>
      </n>
      <n v="940866.46" in="0">
        <tpls c="4">
          <tpl fld="7" item="1"/>
          <tpl fld="8" item="5"/>
          <tpl fld="10" item="84"/>
          <tpl hier="64" item="0"/>
        </tpls>
      </n>
      <n v="43" in="1">
        <tpls c="4">
          <tpl fld="7" item="0"/>
          <tpl fld="8" item="4"/>
          <tpl fld="10" item="21"/>
          <tpl hier="64" item="0"/>
        </tpls>
      </n>
      <n v="677" in="1">
        <tpls c="4">
          <tpl fld="7" item="1"/>
          <tpl fld="8" item="4"/>
          <tpl fld="10" item="99"/>
          <tpl hier="64" item="0"/>
        </tpls>
      </n>
      <n v="0" in="1">
        <tpls c="4">
          <tpl fld="7" item="1"/>
          <tpl fld="8" item="3"/>
          <tpl fld="10" item="82"/>
          <tpl hier="64" item="0"/>
        </tpls>
      </n>
      <n v="101930197.09999999" in="0">
        <tpls c="4">
          <tpl fld="7" item="1"/>
          <tpl fld="8" item="0"/>
          <tpl fld="10" item="89"/>
          <tpl hier="64" item="0"/>
        </tpls>
      </n>
      <n v="0" in="0">
        <tpls c="4">
          <tpl fld="7" item="0"/>
          <tpl fld="8" item="5"/>
          <tpl fld="10" item="37"/>
          <tpl hier="64" item="0"/>
        </tpls>
      </n>
      <n v="33" in="1">
        <tpls c="4">
          <tpl fld="7" item="1"/>
          <tpl fld="8" item="4"/>
          <tpl fld="10" item="35"/>
          <tpl hier="64" item="0"/>
        </tpls>
      </n>
      <n v="22145253.280000001" in="0">
        <tpls c="4">
          <tpl fld="7" item="0"/>
          <tpl fld="8" item="0"/>
          <tpl fld="10" item="72"/>
          <tpl hier="64" item="0"/>
        </tpls>
      </n>
      <n v="3" in="1">
        <tpls c="4">
          <tpl fld="7" item="0"/>
          <tpl fld="8" item="3"/>
          <tpl fld="10" item="24"/>
          <tpl hier="64" item="0"/>
        </tpls>
      </n>
      <n v="39829" in="1">
        <tpls c="4">
          <tpl fld="7" item="1"/>
          <tpl fld="8" item="3"/>
          <tpl fld="10" item="3"/>
          <tpl hier="64" item="0"/>
        </tpls>
      </n>
      <n v="1133" in="1">
        <tpls c="4">
          <tpl fld="7" item="0"/>
          <tpl fld="8" item="4"/>
          <tpl fld="10" item="64"/>
          <tpl hier="64" item="0"/>
        </tpls>
      </n>
      <n v="5420192.0899999989" in="0">
        <tpls c="4">
          <tpl fld="7" item="1"/>
          <tpl fld="8" item="0"/>
          <tpl fld="10" item="46"/>
          <tpl hier="64" item="0"/>
        </tpls>
      </n>
      <n v="4104772.1500000004" in="0">
        <tpls c="4">
          <tpl fld="7" item="0"/>
          <tpl fld="8" item="5"/>
          <tpl fld="10" item="38"/>
          <tpl hier="64" item="0"/>
        </tpls>
      </n>
      <n v="280" in="1">
        <tpls c="4">
          <tpl fld="7" item="1"/>
          <tpl fld="8" item="3"/>
          <tpl fld="10" item="103"/>
          <tpl hier="64" item="0"/>
        </tpls>
      </n>
      <n v="141055146.81999999" in="0">
        <tpls c="4">
          <tpl fld="7" item="1"/>
          <tpl fld="8" item="0"/>
          <tpl fld="10" item="107"/>
          <tpl hier="64" item="0"/>
        </tpls>
      </n>
      <n v="296" in="1">
        <tpls c="4">
          <tpl fld="7" item="0"/>
          <tpl fld="8" item="3"/>
          <tpl fld="10" item="32"/>
          <tpl hier="64" item="0"/>
        </tpls>
      </n>
      <n v="720439.64999999991" in="0">
        <tpls c="4">
          <tpl fld="7" item="0"/>
          <tpl fld="8" item="5"/>
          <tpl fld="10" item="77"/>
          <tpl hier="64" item="0"/>
        </tpls>
      </n>
      <n v="171762.46" in="0">
        <tpls c="4">
          <tpl fld="7" item="0"/>
          <tpl fld="8" item="5"/>
          <tpl fld="10" item="50"/>
          <tpl hier="64" item="0"/>
        </tpls>
      </n>
      <n v="16793601.25" in="0">
        <tpls c="4">
          <tpl fld="7" item="1"/>
          <tpl fld="8" item="5"/>
          <tpl fld="10" item="51"/>
          <tpl hier="64" item="0"/>
        </tpls>
      </n>
      <n v="101" in="1">
        <tpls c="4">
          <tpl fld="7" item="1"/>
          <tpl fld="8" item="3"/>
          <tpl fld="10" item="43"/>
          <tpl hier="64" item="0"/>
        </tpls>
      </n>
      <n v="65299756.819999993" in="0">
        <tpls c="4">
          <tpl fld="7" item="0"/>
          <tpl fld="8" item="0"/>
          <tpl fld="10" item="108"/>
          <tpl hier="64" item="0"/>
        </tpls>
      </n>
      <n v="4152005.6" in="0">
        <tpls c="4">
          <tpl fld="7" item="0"/>
          <tpl fld="8" item="5"/>
          <tpl fld="10" item="2"/>
          <tpl hier="64" item="0"/>
        </tpls>
      </n>
      <n v="9" in="1">
        <tpls c="4">
          <tpl fld="7" item="0"/>
          <tpl fld="8" item="4"/>
          <tpl fld="10" item="88"/>
          <tpl hier="64" item="0"/>
        </tpls>
      </n>
      <n v="9197161.4400000032" in="0">
        <tpls c="4">
          <tpl fld="7" item="1"/>
          <tpl fld="8" item="0"/>
          <tpl fld="10" item="96"/>
          <tpl hier="64" item="0"/>
        </tpls>
      </n>
      <n v="619.88" in="0">
        <tpls c="4">
          <tpl fld="7" item="0"/>
          <tpl fld="8" item="0"/>
          <tpl fld="10" item="22"/>
          <tpl hier="64" item="0"/>
        </tpls>
      </n>
      <n v="12" in="1">
        <tpls c="4">
          <tpl fld="7" item="1"/>
          <tpl fld="8" item="4"/>
          <tpl fld="10" item="81"/>
          <tpl hier="64" item="0"/>
        </tpls>
      </n>
      <n v="2769397.98" in="0">
        <tpls c="4">
          <tpl fld="7" item="1"/>
          <tpl fld="8" item="5"/>
          <tpl fld="10" item="49"/>
          <tpl hier="64" item="0"/>
        </tpls>
      </n>
      <n v="6038358.9300000016" in="0">
        <tpls c="4">
          <tpl fld="7" item="0"/>
          <tpl fld="8" item="0"/>
          <tpl fld="10" item="91"/>
          <tpl hier="64" item="0"/>
        </tpls>
      </n>
      <n v="68537" in="1">
        <tpls c="4">
          <tpl fld="7" item="1"/>
          <tpl fld="8" item="4"/>
          <tpl fld="10" item="28"/>
          <tpl hier="64" item="0"/>
        </tpls>
      </n>
      <n v="0" in="0">
        <tpls c="4">
          <tpl fld="7" item="0"/>
          <tpl fld="8" item="0"/>
          <tpl fld="10" item="98"/>
          <tpl hier="64" item="0"/>
        </tpls>
      </n>
      <n v="5125580" in="1">
        <tpls c="4">
          <tpl fld="7" item="1"/>
          <tpl fld="8" item="3"/>
          <tpl fld="2" item="0"/>
          <tpl hier="64" item="0"/>
        </tpls>
      </n>
      <n v="339" in="1">
        <tpls c="4">
          <tpl fld="7" item="1"/>
          <tpl fld="8" item="4"/>
          <tpl fld="10" item="102"/>
          <tpl hier="64" item="0"/>
        </tpls>
      </n>
      <n v="10" in="1">
        <tpls c="4">
          <tpl fld="7" item="0"/>
          <tpl fld="8" item="3"/>
          <tpl fld="10" item="60"/>
          <tpl hier="64" item="0"/>
        </tpls>
      </n>
      <n v="11097154771.469967" in="0">
        <tpls c="2">
          <tpl fld="8" item="0"/>
          <tpl fld="3" item="5"/>
        </tpls>
      </n>
      <n v="419" in="1">
        <tpls c="4">
          <tpl fld="7" item="1"/>
          <tpl fld="8" item="3"/>
          <tpl fld="10" item="85"/>
          <tpl hier="64" item="0"/>
        </tpls>
      </n>
      <n v="6560409" in="1">
        <tpls c="5">
          <tpl hier="22" item="4294967295"/>
          <tpl fld="7" item="1"/>
          <tpl fld="8" item="3"/>
          <tpl hier="54" item="4294967295"/>
          <tpl hier="64" item="0"/>
        </tpls>
      </n>
      <n v="38181" in="1">
        <tpls c="4">
          <tpl fld="7" item="0"/>
          <tpl fld="8" item="3"/>
          <tpl fld="10" item="52"/>
          <tpl hier="64" item="0"/>
        </tpls>
      </n>
      <n v="105474" in="1">
        <tpls c="4">
          <tpl fld="7" item="1"/>
          <tpl fld="8" item="3"/>
          <tpl fld="10" item="80"/>
          <tpl hier="64" item="0"/>
        </tpls>
      </n>
      <n v="51273" in="1">
        <tpls c="5">
          <tpl fld="1" item="14"/>
          <tpl fld="7" item="1"/>
          <tpl fld="8" item="3"/>
          <tpl fld="2" item="0"/>
          <tpl hier="64" item="0"/>
        </tpls>
      </n>
      <n v="0" in="1">
        <tpls c="4">
          <tpl fld="7" item="0"/>
          <tpl fld="8" item="3"/>
          <tpl fld="10" item="71"/>
          <tpl hier="64" item="0"/>
        </tpls>
      </n>
      <n v="4342979363.3699942" in="0">
        <tpls c="2">
          <tpl fld="8" item="0"/>
          <tpl fld="3" item="22"/>
        </tpls>
      </n>
      <n v="6335084.5900000008" in="0">
        <tpls c="4">
          <tpl fld="7" item="0"/>
          <tpl fld="8" item="5"/>
          <tpl fld="10" item="76"/>
          <tpl hier="64" item="0"/>
        </tpls>
      </n>
      <n v="503568" in="1">
        <tpls c="4">
          <tpl fld="7" item="1"/>
          <tpl fld="8" item="3"/>
          <tpl fld="10" item="89"/>
          <tpl hier="64" item="0"/>
        </tpls>
      </n>
      <n v="6312170.29" in="0">
        <tpls c="4">
          <tpl fld="7" item="1"/>
          <tpl fld="8" item="5"/>
          <tpl fld="10" item="1"/>
          <tpl hier="64" item="0"/>
        </tpls>
      </n>
      <n v="15129" in="1">
        <tpls c="4">
          <tpl fld="7" item="0"/>
          <tpl fld="8" item="3"/>
          <tpl fld="10" item="47"/>
          <tpl hier="64" item="0"/>
        </tpls>
      </n>
      <n v="2392" in="1">
        <tpls c="4">
          <tpl fld="7" item="1"/>
          <tpl fld="8" item="4"/>
          <tpl fld="10" item="61"/>
          <tpl hier="64" item="0"/>
        </tpls>
      </n>
      <n v="88291084.170000017" in="0">
        <tpls c="5">
          <tpl fld="1" item="21"/>
          <tpl fld="7" item="1"/>
          <tpl fld="8" item="0"/>
          <tpl fld="9" item="1"/>
          <tpl hier="64" item="0"/>
        </tpls>
      </n>
      <n v="286005" in="1">
        <tpls c="4">
          <tpl fld="7" item="0"/>
          <tpl fld="8" item="3"/>
          <tpl fld="10" item="93"/>
          <tpl hier="64" item="0"/>
        </tpls>
      </n>
      <n v="2" in="1">
        <tpls c="4">
          <tpl fld="7" item="1"/>
          <tpl fld="8" item="4"/>
          <tpl fld="10" item="103"/>
          <tpl hier="64" item="0"/>
        </tpls>
      </n>
      <n v="0" in="0">
        <tpls c="4">
          <tpl fld="7" item="0"/>
          <tpl fld="8" item="5"/>
          <tpl fld="10" item="82"/>
          <tpl hier="64" item="0"/>
        </tpls>
      </n>
      <n v="62339015.730000004" in="0">
        <tpls c="4">
          <tpl fld="7" item="0"/>
          <tpl fld="8" item="5"/>
          <tpl fld="10" item="107"/>
          <tpl hier="64" item="0"/>
        </tpls>
      </n>
      <n v="1923" in="1">
        <tpls c="4">
          <tpl fld="7" item="0"/>
          <tpl fld="8" item="3"/>
          <tpl fld="10" item="72"/>
          <tpl hier="64" item="0"/>
        </tpls>
      </n>
      <n v="0" in="0">
        <tpls c="4">
          <tpl fld="7" item="0"/>
          <tpl fld="8" item="5"/>
          <tpl fld="10" item="71"/>
          <tpl hier="64" item="0"/>
        </tpls>
      </n>
      <n v="38352" in="1">
        <tpls c="4">
          <tpl fld="7" item="0"/>
          <tpl fld="8" item="3"/>
          <tpl fld="10" item="3"/>
          <tpl hier="64" item="0"/>
        </tpls>
      </n>
      <n v="0" in="1">
        <tpls c="4">
          <tpl fld="7" item="1"/>
          <tpl fld="8" item="4"/>
          <tpl fld="10" item="78"/>
          <tpl hier="64" item="0"/>
        </tpls>
      </n>
      <n v="0" in="1">
        <tpls c="4">
          <tpl fld="7" item="1"/>
          <tpl fld="8" item="4"/>
          <tpl fld="10" item="82"/>
          <tpl hier="64" item="0"/>
        </tpls>
      </n>
      <n v="212" in="1">
        <tpls c="4">
          <tpl fld="7" item="0"/>
          <tpl fld="8" item="3"/>
          <tpl fld="10" item="103"/>
          <tpl hier="64" item="0"/>
        </tpls>
      </n>
      <n v="93046" in="1">
        <tpls c="4">
          <tpl fld="7" item="0"/>
          <tpl fld="8" item="3"/>
          <tpl fld="10" item="107"/>
          <tpl hier="64" item="0"/>
        </tpls>
      </n>
      <n v="1281677.46" in="0">
        <tpls c="4">
          <tpl fld="7" item="0"/>
          <tpl fld="8" item="0"/>
          <tpl fld="10" item="32"/>
          <tpl hier="64" item="0"/>
        </tpls>
      </n>
      <n v="694841.73" in="0">
        <tpls c="4">
          <tpl fld="7" item="1"/>
          <tpl fld="8" item="5"/>
          <tpl fld="10" item="77"/>
          <tpl hier="64" item="0"/>
        </tpls>
      </n>
      <n v="883957.59999999986" in="0">
        <tpls c="4">
          <tpl fld="7" item="1"/>
          <tpl fld="8" item="5"/>
          <tpl fld="10" item="50"/>
          <tpl hier="64" item="0"/>
        </tpls>
      </n>
      <n v="7085" in="1">
        <tpls c="4">
          <tpl fld="7" item="1"/>
          <tpl fld="8" item="4"/>
          <tpl fld="10" item="51"/>
          <tpl hier="64" item="0"/>
        </tpls>
      </n>
      <n v="34752538.659999996" in="0">
        <tpls c="4">
          <tpl fld="7" item="1"/>
          <tpl fld="8" item="0"/>
          <tpl fld="10" item="30"/>
          <tpl hier="64" item="0"/>
        </tpls>
      </n>
      <n v="24010" in="1">
        <tpls c="4">
          <tpl fld="7" item="0"/>
          <tpl fld="8" item="3"/>
          <tpl fld="10" item="61"/>
          <tpl hier="64" item="0"/>
        </tpls>
      </n>
      <n v="1096950.05" in="0">
        <tpls c="4">
          <tpl fld="7" item="1"/>
          <tpl fld="8" item="0"/>
          <tpl fld="10" item="81"/>
          <tpl hier="64" item="0"/>
        </tpls>
      </n>
      <n v="3429534.7599999988" in="0">
        <tpls c="4">
          <tpl fld="7" item="0"/>
          <tpl fld="8" item="0"/>
          <tpl fld="10" item="79"/>
          <tpl hier="64" item="0"/>
        </tpls>
      </n>
      <n v="0" in="1">
        <tpls c="4">
          <tpl fld="7" item="0"/>
          <tpl fld="8" item="4"/>
          <tpl fld="10" item="36"/>
          <tpl hier="64" item="0"/>
        </tpls>
      </n>
      <n v="12019313.32" in="0">
        <tpls c="4">
          <tpl fld="7" item="0"/>
          <tpl fld="8" item="0"/>
          <tpl fld="10" item="96"/>
          <tpl hier="64" item="0"/>
        </tpls>
      </n>
      <n v="2" in="1">
        <tpls c="4">
          <tpl fld="7" item="1"/>
          <tpl fld="8" item="3"/>
          <tpl fld="10" item="22"/>
          <tpl hier="64" item="0"/>
        </tpls>
      </n>
      <n v="382057.98" in="0">
        <tpls c="4">
          <tpl fld="7" item="0"/>
          <tpl fld="8" item="5"/>
          <tpl fld="10" item="81"/>
          <tpl hier="64" item="0"/>
        </tpls>
      </n>
      <n v="3563469.87" in="0">
        <tpls c="4">
          <tpl fld="7" item="0"/>
          <tpl fld="8" item="0"/>
          <tpl fld="10" item="14"/>
          <tpl hier="64" item="0"/>
        </tpls>
      </n>
      <n v="19163362.890000001" in="0">
        <tpls c="4">
          <tpl fld="7" item="0"/>
          <tpl fld="8" item="0"/>
          <tpl fld="10" item="6"/>
          <tpl hier="64" item="0"/>
        </tpls>
      </n>
      <n v="375" in="1">
        <tpls c="4">
          <tpl fld="7" item="0"/>
          <tpl fld="8" item="3"/>
          <tpl fld="10" item="91"/>
          <tpl hier="64" item="0"/>
        </tpls>
      </n>
      <n v="64464" in="1">
        <tpls c="4">
          <tpl fld="7" item="0"/>
          <tpl fld="8" item="4"/>
          <tpl fld="10" item="28"/>
          <tpl hier="64" item="0"/>
        </tpls>
      </n>
      <n v="18932" in="1">
        <tpls c="4">
          <tpl fld="7" item="0"/>
          <tpl fld="8" item="4"/>
          <tpl fld="10" item="74"/>
          <tpl hier="64" item="0"/>
        </tpls>
      </n>
      <n v="0" in="0">
        <tpls c="4">
          <tpl fld="7" item="1"/>
          <tpl fld="8" item="0"/>
          <tpl fld="10" item="98"/>
          <tpl hier="64" item="0"/>
        </tpls>
      </n>
      <n v="717785114.88999999" in="0">
        <tpls c="4">
          <tpl fld="7" item="0"/>
          <tpl fld="8" item="5"/>
          <tpl fld="10" item="94"/>
          <tpl hier="64" item="0"/>
        </tpls>
      </n>
      <n v="97174869535.570221" in="0">
        <tpls c="1">
          <tpl fld="8" item="5"/>
        </tpls>
      </n>
      <n v="167343.42000000001" in="0">
        <tpls c="4">
          <tpl fld="7" item="1"/>
          <tpl fld="8" item="5"/>
          <tpl fld="10" item="70"/>
          <tpl hier="64" item="0"/>
        </tpls>
      </n>
      <n v="8721" in="1">
        <tpls c="4">
          <tpl fld="7" item="0"/>
          <tpl fld="8" item="4"/>
          <tpl fld="10" item="93"/>
          <tpl hier="64" item="0"/>
        </tpls>
      </n>
      <n v="83091" in="1">
        <tpls c="4">
          <tpl fld="7" item="0"/>
          <tpl fld="8" item="3"/>
          <tpl fld="10" item="18"/>
          <tpl hier="64" item="0"/>
        </tpls>
      </n>
      <n v="2560" in="1">
        <tpls c="4">
          <tpl fld="7" item="0"/>
          <tpl fld="8" item="3"/>
          <tpl fld="10" item="86"/>
          <tpl hier="64" item="0"/>
        </tpls>
      </n>
      <n v="1590" in="1">
        <tpls c="4">
          <tpl fld="7" item="0"/>
          <tpl fld="8" item="3"/>
          <tpl fld="10" item="19"/>
          <tpl hier="64" item="0"/>
        </tpls>
      </n>
      <n v="5874967.2300000004" in="0">
        <tpls c="4">
          <tpl fld="7" item="0"/>
          <tpl fld="8" item="0"/>
          <tpl fld="10" item="97"/>
          <tpl hier="64" item="0"/>
        </tpls>
      </n>
      <n v="5435409.2300000004" in="0">
        <tpls c="4">
          <tpl fld="7" item="1"/>
          <tpl fld="8" item="5"/>
          <tpl fld="10" item="109"/>
          <tpl hier="64" item="0"/>
        </tpls>
      </n>
      <n v="1118905.6300000001" in="0">
        <tpls c="4">
          <tpl fld="7" item="1"/>
          <tpl fld="8" item="0"/>
          <tpl fld="10" item="48"/>
          <tpl hier="64" item="0"/>
        </tpls>
      </n>
      <n v="1223502.8599999996" in="0">
        <tpls c="4">
          <tpl fld="7" item="1"/>
          <tpl fld="8" item="0"/>
          <tpl fld="10" item="21"/>
          <tpl hier="64" item="0"/>
        </tpls>
      </n>
      <n v="165" in="1">
        <tpls c="4">
          <tpl fld="7" item="0"/>
          <tpl fld="8" item="3"/>
          <tpl fld="10" item="33"/>
          <tpl hier="64" item="0"/>
        </tpls>
      </n>
      <n v="3538499.7800000003" in="0">
        <tpls c="4">
          <tpl fld="7" item="0"/>
          <tpl fld="8" item="0"/>
          <tpl fld="10" item="45"/>
          <tpl hier="64" item="0"/>
        </tpls>
      </n>
      <n v="6390437.200000002" in="0">
        <tpls c="4">
          <tpl fld="7" item="1"/>
          <tpl fld="8" item="0"/>
          <tpl fld="10" item="84"/>
          <tpl hier="64" item="0"/>
        </tpls>
      </n>
      <n v="8126648.9399999995" in="0">
        <tpls c="4">
          <tpl fld="7" item="1"/>
          <tpl fld="8" item="5"/>
          <tpl fld="10" item="18"/>
          <tpl hier="64" item="0"/>
        </tpls>
      </n>
      <n v="19013" in="1">
        <tpls c="4">
          <tpl fld="7" item="1"/>
          <tpl fld="8" item="4"/>
          <tpl fld="10" item="74"/>
          <tpl hier="64" item="0"/>
        </tpls>
      </n>
      <n v="6901952.2400000012" in="0">
        <tpls c="4">
          <tpl fld="7" item="0"/>
          <tpl fld="8" item="0"/>
          <tpl fld="10" item="50"/>
          <tpl hier="64" item="0"/>
        </tpls>
      </n>
      <n v="819762.51000000013" in="0">
        <tpls c="4">
          <tpl fld="7" item="1"/>
          <tpl fld="8" item="5"/>
          <tpl fld="10" item="87"/>
          <tpl hier="64" item="0"/>
        </tpls>
      </n>
      <n v="643650.4" in="0">
        <tpls c="4">
          <tpl fld="7" item="0"/>
          <tpl fld="8" item="0"/>
          <tpl fld="10" item="70"/>
          <tpl hier="64" item="0"/>
        </tpls>
      </n>
      <n v="196" in="1">
        <tpls c="4">
          <tpl fld="7" item="1"/>
          <tpl fld="8" item="4"/>
          <tpl fld="10" item="46"/>
          <tpl hier="64" item="0"/>
        </tpls>
      </n>
      <n v="3463967.97" in="0">
        <tpls c="4">
          <tpl fld="7" item="0"/>
          <tpl fld="8" item="5"/>
          <tpl fld="10" item="102"/>
          <tpl hier="64" item="0"/>
        </tpls>
      </n>
      <n v="73" in="1">
        <tpls c="4">
          <tpl fld="7" item="1"/>
          <tpl fld="8" item="4"/>
          <tpl fld="10" item="9"/>
          <tpl hier="64" item="0"/>
        </tpls>
      </n>
      <n v="237900.54" in="0">
        <tpls c="4">
          <tpl fld="7" item="0"/>
          <tpl fld="8" item="5"/>
          <tpl fld="10" item="49"/>
          <tpl hier="64" item="0"/>
        </tpls>
      </n>
      <n v="0" in="1">
        <tpls c="4">
          <tpl fld="7" item="1"/>
          <tpl fld="8" item="4"/>
          <tpl fld="10" item="15"/>
          <tpl hier="64" item="0"/>
        </tpls>
      </n>
      <n v="18744805202.449974" in="0">
        <tpls c="2">
          <tpl fld="8" item="0"/>
          <tpl fld="3" item="7"/>
        </tpls>
      </n>
      <n v="2526967.6400000006" in="0">
        <tpls c="4">
          <tpl fld="7" item="0"/>
          <tpl fld="8" item="0"/>
          <tpl fld="10" item="83"/>
          <tpl hier="64" item="0"/>
        </tpls>
      </n>
      <n v="5314" in="1">
        <tpls c="4">
          <tpl fld="7" item="0"/>
          <tpl fld="8" item="4"/>
          <tpl fld="10" item="12"/>
          <tpl hier="64" item="0"/>
        </tpls>
      </n>
      <n v="12267730483.490005" in="0">
        <tpls c="2">
          <tpl fld="8" item="0"/>
          <tpl fld="3" item="11"/>
        </tpls>
      </n>
      <n v="1758016.6199999999" in="0">
        <tpls c="4">
          <tpl fld="7" item="0"/>
          <tpl fld="8" item="5"/>
          <tpl fld="10" item="43"/>
          <tpl hier="64" item="0"/>
        </tpls>
      </n>
      <n v="36" in="1">
        <tpls c="4">
          <tpl fld="7" item="0"/>
          <tpl fld="8" item="4"/>
          <tpl fld="10" item="81"/>
          <tpl hier="64" item="0"/>
        </tpls>
      </n>
      <n v="283042443.22999996" in="0">
        <tpls c="4">
          <tpl fld="7" item="0"/>
          <tpl fld="8" item="0"/>
          <tpl fld="10" item="92"/>
          <tpl hier="64" item="0"/>
        </tpls>
      </n>
      <n v="29249" in="1">
        <tpls c="4">
          <tpl fld="7" item="0"/>
          <tpl fld="8" item="3"/>
          <tpl fld="10" item="74"/>
          <tpl hier="64" item="0"/>
        </tpls>
      </n>
      <n v="0" in="1">
        <tpls c="4">
          <tpl fld="7" item="0"/>
          <tpl fld="8" item="4"/>
          <tpl fld="10" item="71"/>
          <tpl hier="64" item="0"/>
        </tpls>
      </n>
      <n v="7.2759576141834259E-12" in="0">
        <tpls c="4">
          <tpl fld="7" item="1"/>
          <tpl fld="8" item="0"/>
          <tpl fld="10" item="101"/>
          <tpl hier="64" item="0"/>
        </tpls>
      </n>
      <n v="10763367.569999998" in="0">
        <tpls c="4">
          <tpl fld="7" item="0"/>
          <tpl fld="8" item="5"/>
          <tpl fld="10" item="10"/>
          <tpl hier="64" item="0"/>
        </tpls>
      </n>
      <n v="599" in="1">
        <tpls c="4">
          <tpl fld="7" item="1"/>
          <tpl fld="8" item="3"/>
          <tpl fld="10" item="20"/>
          <tpl hier="64" item="0"/>
        </tpls>
      </n>
      <n v="3216374316.6200013" in="0">
        <tpls c="2">
          <tpl fld="8" item="0"/>
          <tpl fld="10" item="89"/>
        </tpls>
      </n>
      <n v="8538" in="1">
        <tpls c="4">
          <tpl fld="7" item="1"/>
          <tpl fld="8" item="3"/>
          <tpl fld="10" item="38"/>
          <tpl hier="64" item="0"/>
        </tpls>
      </n>
      <n v="62934.59" in="0">
        <tpls c="4">
          <tpl fld="7" item="1"/>
          <tpl fld="8" item="5"/>
          <tpl fld="10" item="78"/>
          <tpl hier="64" item="0"/>
        </tpls>
      </n>
      <n v="6037875876.8999949" in="0">
        <tpls c="2">
          <tpl fld="8" item="0"/>
          <tpl fld="3" item="4"/>
        </tpls>
      </n>
      <n v="1400896.1299999997" in="0">
        <tpls c="4">
          <tpl fld="7" item="1"/>
          <tpl fld="8" item="5"/>
          <tpl fld="10" item="96"/>
          <tpl hier="64" item="0"/>
        </tpls>
      </n>
      <n v="20030717.100000001" in="0">
        <tpls c="4">
          <tpl fld="7" item="1"/>
          <tpl fld="8" item="5"/>
          <tpl fld="10" item="63"/>
          <tpl hier="64" item="0"/>
        </tpls>
      </n>
      <n v="30397981.609999999" in="0">
        <tpls c="4">
          <tpl fld="7" item="1"/>
          <tpl fld="8" item="0"/>
          <tpl fld="10" item="88"/>
          <tpl hier="64" item="0"/>
        </tpls>
      </n>
      <n v="1" in="1">
        <tpls c="4">
          <tpl fld="7" item="1"/>
          <tpl fld="8" item="4"/>
          <tpl fld="10" item="11"/>
          <tpl hier="64" item="0"/>
        </tpls>
      </n>
      <n v="2399" in="1">
        <tpls c="4">
          <tpl fld="7" item="0"/>
          <tpl fld="8" item="4"/>
          <tpl fld="10" item="100"/>
          <tpl hier="64" item="0"/>
        </tpls>
      </n>
      <n v="134205154.86999997" in="0">
        <tpls c="4">
          <tpl fld="7" item="1"/>
          <tpl fld="8" item="0"/>
          <tpl fld="10" item="17"/>
          <tpl hier="64" item="0"/>
        </tpls>
      </n>
      <n v="1437667281.9100001" in="0">
        <tpls c="4">
          <tpl fld="7" item="0"/>
          <tpl fld="8" item="0"/>
          <tpl fld="10" item="62"/>
          <tpl hier="64" item="0"/>
        </tpls>
      </n>
      <n v="1350784503.1900001" in="0">
        <tpls c="4">
          <tpl fld="7" item="1"/>
          <tpl fld="8" item="0"/>
          <tpl fld="10" item="62"/>
          <tpl hier="64" item="0"/>
        </tpls>
      </n>
      <n v="8" in="1">
        <tpls c="4">
          <tpl fld="7" item="0"/>
          <tpl fld="8" item="4"/>
          <tpl fld="10" item="27"/>
          <tpl hier="64" item="0"/>
        </tpls>
      </n>
      <n v="770924.0399999998" in="0">
        <tpls c="4">
          <tpl fld="7" item="1"/>
          <tpl fld="8" item="5"/>
          <tpl fld="10" item="27"/>
          <tpl hier="64" item="0"/>
        </tpls>
      </n>
      <n v="0" in="1">
        <tpls c="4">
          <tpl fld="7" item="0"/>
          <tpl fld="8" item="4"/>
          <tpl fld="10" item="60"/>
          <tpl hier="64" item="0"/>
        </tpls>
      </n>
      <n v="0" in="0">
        <tpls c="4">
          <tpl fld="7" item="1"/>
          <tpl fld="8" item="5"/>
          <tpl fld="10" item="60"/>
          <tpl hier="64" item="0"/>
        </tpls>
      </n>
      <n v="9" in="1">
        <tpls c="4">
          <tpl fld="7" item="0"/>
          <tpl fld="8" item="4"/>
          <tpl fld="10" item="39"/>
          <tpl hier="64" item="0"/>
        </tpls>
      </n>
      <n v="0" in="0">
        <tpls c="4">
          <tpl fld="7" item="0"/>
          <tpl fld="8" item="5"/>
          <tpl fld="10" item="25"/>
          <tpl hier="64" item="0"/>
        </tpls>
      </n>
      <n v="1850956.9800000002" in="0">
        <tpls c="4">
          <tpl fld="7" item="0"/>
          <tpl fld="8" item="0"/>
          <tpl fld="10" item="78"/>
          <tpl hier="64" item="0"/>
        </tpls>
      </n>
      <n v="4468" in="1">
        <tpls c="4">
          <tpl fld="7" item="1"/>
          <tpl fld="8" item="3"/>
          <tpl fld="10" item="78"/>
          <tpl hier="64" item="0"/>
        </tpls>
      </n>
      <n v="12" in="1">
        <tpls c="4">
          <tpl fld="7" item="1"/>
          <tpl fld="8" item="3"/>
          <tpl fld="10" item="37"/>
          <tpl hier="64" item="0"/>
        </tpls>
      </n>
      <n v="160" in="1">
        <tpls c="4">
          <tpl fld="7" item="1"/>
          <tpl fld="8" item="3"/>
          <tpl fld="10" item="77"/>
          <tpl hier="64" item="0"/>
        </tpls>
      </n>
      <n v="1640711.5000000002" in="0">
        <tpls c="4">
          <tpl fld="7" item="0"/>
          <tpl fld="8" item="0"/>
          <tpl fld="10" item="41"/>
          <tpl hier="64" item="0"/>
        </tpls>
      </n>
      <n v="2248558.1599999992" in="0">
        <tpls c="4">
          <tpl fld="7" item="1"/>
          <tpl fld="8" item="0"/>
          <tpl fld="10" item="41"/>
          <tpl hier="64" item="0"/>
        </tpls>
      </n>
      <n v="324" in="1">
        <tpls c="4">
          <tpl fld="7" item="1"/>
          <tpl fld="8" item="3"/>
          <tpl fld="10" item="41"/>
          <tpl hier="64" item="0"/>
        </tpls>
      </n>
      <n v="3550386.93" in="0">
        <tpls c="4">
          <tpl fld="7" item="0"/>
          <tpl fld="8" item="0"/>
          <tpl fld="10" item="65"/>
          <tpl hier="64" item="0"/>
        </tpls>
      </n>
      <n v="197" in="1">
        <tpls c="4">
          <tpl fld="7" item="0"/>
          <tpl fld="8" item="3"/>
          <tpl fld="10" item="65"/>
          <tpl hier="64" item="0"/>
        </tpls>
      </n>
      <n v="33693" in="1">
        <tpls c="4">
          <tpl fld="7" item="1"/>
          <tpl fld="8" item="3"/>
          <tpl fld="10" item="90"/>
          <tpl hier="64" item="0"/>
        </tpls>
      </n>
      <n v="51690860.519999996" in="0">
        <tpls c="4">
          <tpl fld="7" item="1"/>
          <tpl fld="8" item="0"/>
          <tpl fld="10" item="90"/>
          <tpl hier="64" item="0"/>
        </tpls>
      </n>
      <n v="85" in="1">
        <tpls c="4">
          <tpl fld="7" item="0"/>
          <tpl fld="8" item="4"/>
          <tpl fld="10" item="66"/>
          <tpl hier="64" item="0"/>
        </tpls>
      </n>
      <n v="59033.570000000007" in="0">
        <tpls c="4">
          <tpl fld="7" item="0"/>
          <tpl fld="8" item="5"/>
          <tpl fld="10" item="66"/>
          <tpl hier="64" item="0"/>
        </tpls>
      </n>
      <n v="48631217.479999997" in="0">
        <tpls c="4">
          <tpl fld="7" item="1"/>
          <tpl fld="8" item="5"/>
          <tpl fld="10" item="47"/>
          <tpl hier="64" item="0"/>
        </tpls>
      </n>
      <n v="1087" in="1">
        <tpls c="4">
          <tpl fld="7" item="0"/>
          <tpl fld="8" item="4"/>
          <tpl fld="10" item="47"/>
          <tpl hier="64" item="0"/>
        </tpls>
      </n>
      <n v="795756.88999999978" in="0">
        <tpls c="4">
          <tpl fld="7" item="0"/>
          <tpl fld="8" item="5"/>
          <tpl fld="10" item="34"/>
          <tpl hier="64" item="0"/>
        </tpls>
      </n>
      <n v="37" in="1">
        <tpls c="4">
          <tpl fld="7" item="0"/>
          <tpl fld="8" item="4"/>
          <tpl fld="10" item="20"/>
          <tpl hier="64" item="0"/>
        </tpls>
      </n>
      <n v="8309989.4300000006" in="0">
        <tpls c="4">
          <tpl fld="7" item="0"/>
          <tpl fld="8" item="5"/>
          <tpl fld="10" item="20"/>
          <tpl hier="64" item="0"/>
        </tpls>
      </n>
      <n v="278075841.84000009" in="0">
        <tpls c="4">
          <tpl fld="7" item="1"/>
          <tpl fld="8" item="0"/>
          <tpl fld="10" item="92"/>
          <tpl hier="64" item="0"/>
        </tpls>
      </n>
      <n v="340898" in="1">
        <tpls c="4">
          <tpl fld="7" item="0"/>
          <tpl fld="8" item="3"/>
          <tpl fld="10" item="92"/>
          <tpl hier="64" item="0"/>
        </tpls>
      </n>
      <n v="1256592.1600000001" in="0">
        <tpls c="4">
          <tpl fld="7" item="1"/>
          <tpl fld="8" item="0"/>
          <tpl fld="10" item="1"/>
          <tpl hier="64" item="0"/>
        </tpls>
      </n>
      <n v="1825412.5500000003" in="0">
        <tpls c="4">
          <tpl fld="7" item="0"/>
          <tpl fld="8" item="0"/>
          <tpl fld="10" item="1"/>
          <tpl hier="64" item="0"/>
        </tpls>
      </n>
      <n v="60989444.409999996" in="0">
        <tpls c="4">
          <tpl fld="7" item="0"/>
          <tpl fld="8" item="0"/>
          <tpl fld="10" item="55"/>
          <tpl hier="64" item="0"/>
        </tpls>
      </n>
      <n v="34900" in="1">
        <tpls c="4">
          <tpl fld="7" item="0"/>
          <tpl fld="8" item="3"/>
          <tpl fld="10" item="55"/>
          <tpl hier="64" item="0"/>
        </tpls>
      </n>
      <n v="70865513.430000007" in="0">
        <tpls c="4">
          <tpl fld="7" item="1"/>
          <tpl fld="8" item="0"/>
          <tpl fld="10" item="55"/>
          <tpl hier="64" item="0"/>
        </tpls>
      </n>
      <n v="35096" in="1">
        <tpls c="4">
          <tpl fld="7" item="1"/>
          <tpl fld="8" item="3"/>
          <tpl fld="10" item="55"/>
          <tpl hier="64" item="0"/>
        </tpls>
      </n>
      <n v="6483" in="1">
        <tpls c="4">
          <tpl fld="7" item="1"/>
          <tpl fld="8" item="3"/>
          <tpl fld="10" item="75"/>
          <tpl hier="64" item="0"/>
        </tpls>
      </n>
      <n v="5872" in="1">
        <tpls c="4">
          <tpl fld="7" item="0"/>
          <tpl fld="8" item="3"/>
          <tpl fld="10" item="75"/>
          <tpl hier="64" item="0"/>
        </tpls>
      </n>
      <n v="32" in="1">
        <tpls c="4">
          <tpl fld="7" item="0"/>
          <tpl fld="8" item="4"/>
          <tpl fld="10" item="86"/>
          <tpl hier="64" item="0"/>
        </tpls>
      </n>
      <n v="83805.350000000006" in="0">
        <tpls c="4">
          <tpl fld="7" item="0"/>
          <tpl fld="8" item="5"/>
          <tpl fld="10" item="86"/>
          <tpl hier="64" item="0"/>
        </tpls>
      </n>
      <n v="21" in="1">
        <tpls c="4">
          <tpl fld="7" item="1"/>
          <tpl fld="8" item="4"/>
          <tpl fld="10" item="86"/>
          <tpl hier="64" item="0"/>
        </tpls>
      </n>
      <n v="0" in="0">
        <tpls c="4">
          <tpl fld="7" item="0"/>
          <tpl fld="8" item="0"/>
          <tpl fld="10" item="69"/>
          <tpl hier="64" item="0"/>
        </tpls>
      </n>
      <n v="344360.95" in="0">
        <tpls c="4">
          <tpl fld="7" item="1"/>
          <tpl fld="8" item="0"/>
          <tpl fld="10" item="69"/>
          <tpl hier="64" item="0"/>
        </tpls>
      </n>
      <n v="4198" in="1">
        <tpls c="4">
          <tpl fld="7" item="1"/>
          <tpl fld="8" item="3"/>
          <tpl fld="10" item="100"/>
          <tpl hier="64" item="0"/>
        </tpls>
      </n>
      <n v="16611267.610000001" in="0">
        <tpls c="4">
          <tpl fld="7" item="0"/>
          <tpl fld="8" item="0"/>
          <tpl fld="10" item="100"/>
          <tpl hier="64" item="0"/>
        </tpls>
      </n>
      <n v="6063723.8899999997" in="0">
        <tpls c="4">
          <tpl fld="7" item="1"/>
          <tpl fld="8" item="0"/>
          <tpl fld="10" item="11"/>
          <tpl hier="64" item="0"/>
        </tpls>
      </n>
      <n v="8626466.870000001" in="0">
        <tpls c="4">
          <tpl fld="7" item="0"/>
          <tpl fld="8" item="0"/>
          <tpl fld="10" item="11"/>
          <tpl hier="64" item="0"/>
        </tpls>
      </n>
      <n v="300482.42000000004" in="0">
        <tpls c="4">
          <tpl fld="7" item="1"/>
          <tpl fld="8" item="5"/>
          <tpl fld="10" item="35"/>
          <tpl hier="64" item="0"/>
        </tpls>
      </n>
      <n v="12698205.630000003" in="0">
        <tpls c="4">
          <tpl fld="7" item="0"/>
          <tpl fld="8" item="0"/>
          <tpl fld="10" item="99"/>
          <tpl hier="64" item="0"/>
        </tpls>
      </n>
      <n v="96657" in="1">
        <tpls c="4">
          <tpl fld="7" item="1"/>
          <tpl fld="8" item="3"/>
          <tpl fld="10" item="99"/>
          <tpl hier="64" item="0"/>
        </tpls>
      </n>
      <n v="9942" in="1">
        <tpls c="4">
          <tpl fld="7" item="1"/>
          <tpl fld="8" item="4"/>
          <tpl fld="10" item="23"/>
          <tpl hier="64" item="0"/>
        </tpls>
      </n>
      <n v="34615009.920000009" in="0">
        <tpls c="4">
          <tpl fld="7" item="0"/>
          <tpl fld="8" item="5"/>
          <tpl fld="10" item="23"/>
          <tpl hier="64" item="0"/>
        </tpls>
      </n>
      <n v="47308462.600000016" in="0">
        <tpls c="4">
          <tpl fld="7" item="1"/>
          <tpl fld="8" item="5"/>
          <tpl fld="10" item="23"/>
          <tpl hier="64" item="0"/>
        </tpls>
      </n>
      <n v="0" in="0">
        <tpls c="4">
          <tpl fld="7" item="1"/>
          <tpl fld="8" item="0"/>
          <tpl fld="10" item="68"/>
          <tpl hier="64" item="0"/>
        </tpls>
      </n>
      <n v="41905.380000000005" in="0">
        <tpls c="4">
          <tpl fld="7" item="0"/>
          <tpl fld="8" item="0"/>
          <tpl fld="10" item="68"/>
          <tpl hier="64" item="0"/>
        </tpls>
      </n>
      <n v="0" in="1">
        <tpls c="4">
          <tpl fld="7" item="1"/>
          <tpl fld="8" item="3"/>
          <tpl fld="10" item="68"/>
          <tpl hier="64" item="0"/>
        </tpls>
      </n>
      <n v="2" in="1">
        <tpls c="4">
          <tpl fld="7" item="0"/>
          <tpl fld="8" item="3"/>
          <tpl fld="10" item="68"/>
          <tpl hier="64" item="0"/>
        </tpls>
      </n>
      <n v="27061475.840000004" in="0">
        <tpls c="4">
          <tpl fld="7" item="0"/>
          <tpl fld="8" item="5"/>
          <tpl fld="10" item="93"/>
          <tpl hier="64" item="0"/>
        </tpls>
      </n>
      <n v="8520" in="1">
        <tpls c="4">
          <tpl fld="7" item="1"/>
          <tpl fld="8" item="4"/>
          <tpl fld="10" item="93"/>
          <tpl hier="64" item="0"/>
        </tpls>
      </n>
      <n v="607" in="1">
        <tpls c="4">
          <tpl fld="7" item="0"/>
          <tpl fld="8" item="4"/>
          <tpl fld="10" item="79"/>
          <tpl hier="64" item="0"/>
        </tpls>
      </n>
      <n v="3217535.4800000004" in="0">
        <tpls c="4">
          <tpl fld="7" item="1"/>
          <tpl fld="8" item="5"/>
          <tpl fld="10" item="79"/>
          <tpl hier="64" item="0"/>
        </tpls>
      </n>
      <n v="7.2759576141834259E-12" in="0">
        <tpls c="2">
          <tpl fld="8" item="0"/>
          <tpl fld="10" item="101"/>
        </tpls>
      </n>
      <n v="226277958.69000009" in="0">
        <tpls c="2">
          <tpl fld="8" item="0"/>
          <tpl fld="10" item="99"/>
        </tpls>
      </n>
      <n v="2714883209.2600017" in="0">
        <tpls c="2">
          <tpl fld="8" item="0"/>
          <tpl fld="3" item="8"/>
        </tpls>
      </n>
      <n v="1670624060.4699979" in="0">
        <tpls c="2">
          <tpl fld="8" item="0"/>
          <tpl fld="3" item="0"/>
        </tpls>
      </n>
      <n v="1589113012.4700007" in="0">
        <tpls c="2">
          <tpl fld="8" item="0"/>
          <tpl fld="10" item="8"/>
        </tpls>
      </n>
      <n v="0" in="0">
        <tpls c="2">
          <tpl fld="8" item="0"/>
          <tpl fld="3" item="19"/>
        </tpls>
      </n>
      <n v="3598539970.6599998" in="0">
        <tpls c="2">
          <tpl fld="8" item="0"/>
          <tpl fld="3" item="10"/>
        </tpls>
      </n>
      <n v="203058407.94000006" in="0">
        <tpls c="2">
          <tpl fld="8" item="0"/>
          <tpl fld="3" item="2"/>
        </tpls>
      </n>
      <n v="197329907633.73907" in="0">
        <tpls c="2">
          <tpl fld="8" item="0"/>
          <tpl hier="54" item="4294967295"/>
        </tpls>
      </n>
      <n v="88719" in="1">
        <tpls c="4">
          <tpl fld="7" item="1"/>
          <tpl fld="8" item="3"/>
          <tpl fld="10" item="104"/>
          <tpl hier="64" item="0"/>
        </tpls>
      </n>
      <n v="0" in="1">
        <tpls c="4">
          <tpl fld="7" item="0"/>
          <tpl fld="8" item="4"/>
          <tpl fld="10" item="68"/>
          <tpl hier="64" item="0"/>
        </tpls>
      </n>
      <n v="50676376.059999995" in="0">
        <tpls c="4">
          <tpl fld="7" item="1"/>
          <tpl fld="8" item="5"/>
          <tpl fld="10" item="19"/>
          <tpl hier="64" item="0"/>
        </tpls>
      </n>
      <n v="20555" in="1">
        <tpls c="4">
          <tpl fld="7" item="0"/>
          <tpl fld="8" item="4"/>
          <tpl fld="10" item="92"/>
          <tpl hier="64" item="0"/>
        </tpls>
      </n>
      <n v="96531787.89000003" in="0">
        <tpls c="4">
          <tpl fld="7" item="1"/>
          <tpl fld="8" item="5"/>
          <tpl fld="10" item="92"/>
          <tpl hier="64" item="0"/>
        </tpls>
      </n>
      <n v="112127982.20000002" in="0">
        <tpls c="4">
          <tpl fld="7" item="0"/>
          <tpl fld="8" item="5"/>
          <tpl fld="10" item="92"/>
          <tpl hier="64" item="0"/>
        </tpls>
      </n>
      <n v="28019952.110000007" in="0">
        <tpls c="4">
          <tpl fld="7" item="0"/>
          <tpl fld="8" item="5"/>
          <tpl fld="10" item="90"/>
          <tpl hier="64" item="0"/>
        </tpls>
      </n>
      <n v="521831" in="1">
        <tpls c="4">
          <tpl fld="7" item="0"/>
          <tpl fld="8" item="4"/>
          <tpl fld="10" item="90"/>
          <tpl hier="64" item="0"/>
        </tpls>
      </n>
      <n v="9517011.2699999996" in="0">
        <tpls c="4">
          <tpl fld="7" item="1"/>
          <tpl fld="8" item="5"/>
          <tpl fld="10" item="90"/>
          <tpl hier="64" item="0"/>
        </tpls>
      </n>
      <n v="68206815.13000001" in="0">
        <tpls c="4">
          <tpl fld="7" item="0"/>
          <tpl fld="8" item="5"/>
          <tpl fld="10" item="104"/>
          <tpl hier="64" item="0"/>
        </tpls>
      </n>
      <n v="6103316.6600000001" in="0">
        <tpls c="4">
          <tpl fld="7" item="1"/>
          <tpl fld="8" item="0"/>
          <tpl fld="10" item="97"/>
          <tpl hier="64" item="0"/>
        </tpls>
      </n>
      <n v="3755" in="1">
        <tpls c="4">
          <tpl fld="7" item="1"/>
          <tpl fld="8" item="3"/>
          <tpl fld="10" item="97"/>
          <tpl hier="64" item="0"/>
        </tpls>
      </n>
      <n v="3788" in="1">
        <tpls c="4">
          <tpl fld="7" item="0"/>
          <tpl fld="8" item="3"/>
          <tpl fld="10" item="97"/>
          <tpl hier="64" item="0"/>
        </tpls>
      </n>
      <n v="0" in="0">
        <tpls c="4">
          <tpl fld="7" item="0"/>
          <tpl fld="8" item="5"/>
          <tpl fld="10" item="98"/>
          <tpl hier="64" item="0"/>
        </tpls>
      </n>
      <n v="0" in="0">
        <tpls c="4">
          <tpl fld="7" item="1"/>
          <tpl fld="8" item="5"/>
          <tpl fld="10" item="98"/>
          <tpl hier="64" item="0"/>
        </tpls>
      </n>
      <n v="1170090.6599999999" in="0">
        <tpls c="4">
          <tpl fld="7" item="0"/>
          <tpl fld="8" item="0"/>
          <tpl fld="10" item="48"/>
          <tpl hier="64" item="0"/>
        </tpls>
      </n>
      <n v="157" in="1">
        <tpls c="4">
          <tpl fld="7" item="1"/>
          <tpl fld="8" item="3"/>
          <tpl fld="10" item="48"/>
          <tpl hier="64" item="0"/>
        </tpls>
      </n>
      <n v="1199" in="1">
        <tpls c="4">
          <tpl fld="7" item="0"/>
          <tpl fld="8" item="4"/>
          <tpl fld="10" item="67"/>
          <tpl hier="64" item="0"/>
        </tpls>
      </n>
      <n v="50643879.149999991" in="0">
        <tpls c="4">
          <tpl fld="7" item="1"/>
          <tpl fld="8" item="5"/>
          <tpl fld="10" item="67"/>
          <tpl hier="64" item="0"/>
        </tpls>
      </n>
      <n v="6213822.919999999" in="0">
        <tpls c="4">
          <tpl fld="7" item="0"/>
          <tpl fld="8" item="5"/>
          <tpl fld="10" item="55"/>
          <tpl hier="64" item="0"/>
        </tpls>
      </n>
      <n v="1183" in="1">
        <tpls c="4">
          <tpl fld="7" item="0"/>
          <tpl fld="8" item="4"/>
          <tpl fld="10" item="55"/>
          <tpl hier="64" item="0"/>
        </tpls>
      </n>
      <n v="6685823.9500000002" in="0">
        <tpls c="4">
          <tpl fld="7" item="1"/>
          <tpl fld="8" item="0"/>
          <tpl fld="10" item="49"/>
          <tpl hier="64" item="0"/>
        </tpls>
      </n>
      <n v="5521661.3300000001" in="0">
        <tpls c="4">
          <tpl fld="7" item="0"/>
          <tpl fld="8" item="0"/>
          <tpl fld="10" item="49"/>
          <tpl hier="64" item="0"/>
        </tpls>
      </n>
      <n v="86" in="1">
        <tpls c="4">
          <tpl fld="7" item="0"/>
          <tpl fld="8" item="3"/>
          <tpl fld="10" item="49"/>
          <tpl hier="64" item="0"/>
        </tpls>
      </n>
      <n v="77" in="1">
        <tpls c="4">
          <tpl fld="7" item="1"/>
          <tpl fld="8" item="3"/>
          <tpl fld="10" item="49"/>
          <tpl hier="64" item="0"/>
        </tpls>
      </n>
      <n v="1416642.7099999997" in="0">
        <tpls c="4">
          <tpl fld="7" item="0"/>
          <tpl fld="8" item="5"/>
          <tpl fld="10" item="41"/>
          <tpl hier="64" item="0"/>
        </tpls>
      </n>
      <n v="42" in="1">
        <tpls c="4">
          <tpl fld="7" item="1"/>
          <tpl fld="8" item="4"/>
          <tpl fld="10" item="41"/>
          <tpl hier="64" item="0"/>
        </tpls>
      </n>
      <n v="11088269.93" in="0">
        <tpls c="4">
          <tpl fld="7" item="0"/>
          <tpl fld="8" item="0"/>
          <tpl fld="10" item="109"/>
          <tpl hier="64" item="0"/>
        </tpls>
      </n>
      <n v="77447" in="1">
        <tpls c="4">
          <tpl fld="7" item="1"/>
          <tpl fld="8" item="3"/>
          <tpl fld="10" item="109"/>
          <tpl hier="64" item="0"/>
        </tpls>
      </n>
      <n v="10043849.119999999" in="0">
        <tpls c="4">
          <tpl fld="7" item="1"/>
          <tpl fld="8" item="0"/>
          <tpl fld="10" item="109"/>
          <tpl hier="64" item="0"/>
        </tpls>
      </n>
      <n v="0" in="0">
        <tpls c="4">
          <tpl fld="7" item="0"/>
          <tpl fld="8" item="5"/>
          <tpl fld="10" item="106"/>
          <tpl hier="64" item="0"/>
        </tpls>
      </n>
      <n v="0" in="1">
        <tpls c="4">
          <tpl fld="7" item="1"/>
          <tpl fld="8" item="4"/>
          <tpl fld="10" item="106"/>
          <tpl hier="64" item="0"/>
        </tpls>
      </n>
      <n v="5" in="1">
        <tpls c="4">
          <tpl fld="7" item="0"/>
          <tpl fld="8" item="4"/>
          <tpl fld="10" item="103"/>
          <tpl hier="64" item="0"/>
        </tpls>
      </n>
      <n v="47128.08" in="0">
        <tpls c="4">
          <tpl fld="7" item="0"/>
          <tpl fld="8" item="5"/>
          <tpl fld="10" item="103"/>
          <tpl hier="64" item="0"/>
        </tpls>
      </n>
      <n v="21845" in="0">
        <tpls c="4">
          <tpl fld="7" item="1"/>
          <tpl fld="8" item="5"/>
          <tpl fld="10" item="103"/>
          <tpl hier="64" item="0"/>
        </tpls>
      </n>
      <n v="13128170.749999998" in="0">
        <tpls c="4">
          <tpl fld="7" item="0"/>
          <tpl fld="8" item="5"/>
          <tpl fld="10" item="64"/>
          <tpl hier="64" item="0"/>
        </tpls>
      </n>
      <n v="747" in="1">
        <tpls c="4">
          <tpl fld="7" item="1"/>
          <tpl fld="8" item="4"/>
          <tpl fld="10" item="64"/>
          <tpl hier="64" item="0"/>
        </tpls>
      </n>
      <n v="74" in="1">
        <tpls c="4">
          <tpl fld="7" item="1"/>
          <tpl fld="8" item="3"/>
          <tpl fld="10" item="21"/>
          <tpl hier="64" item="0"/>
        </tpls>
      </n>
      <n v="128" in="1">
        <tpls c="4">
          <tpl fld="7" item="0"/>
          <tpl fld="8" item="3"/>
          <tpl fld="10" item="21"/>
          <tpl hier="64" item="0"/>
        </tpls>
      </n>
      <n v="60" in="1">
        <tpls c="4">
          <tpl fld="7" item="0"/>
          <tpl fld="8" item="4"/>
          <tpl fld="10" item="84"/>
          <tpl hier="64" item="0"/>
        </tpls>
      </n>
      <n v="66" in="1">
        <tpls c="4">
          <tpl fld="7" item="1"/>
          <tpl fld="8" item="4"/>
          <tpl fld="10" item="84"/>
          <tpl hier="64" item="0"/>
        </tpls>
      </n>
      <n v="0" in="0">
        <tpls c="4">
          <tpl fld="7" item="0"/>
          <tpl fld="8" item="5"/>
          <tpl fld="10" item="101"/>
          <tpl hier="64" item="0"/>
        </tpls>
      </n>
      <n v="0" in="0">
        <tpls c="4">
          <tpl fld="7" item="1"/>
          <tpl fld="8" item="5"/>
          <tpl fld="10" item="101"/>
          <tpl hier="64" item="0"/>
        </tpls>
      </n>
      <n v="0" in="1">
        <tpls c="4">
          <tpl fld="7" item="0"/>
          <tpl fld="8" item="4"/>
          <tpl fld="10" item="101"/>
          <tpl hier="64" item="0"/>
        </tpls>
      </n>
      <n v="61" in="1">
        <tpls c="4">
          <tpl fld="7" item="0"/>
          <tpl fld="8" item="4"/>
          <tpl fld="10" item="13"/>
          <tpl hier="64" item="0"/>
        </tpls>
      </n>
      <n v="54" in="1">
        <tpls c="4">
          <tpl fld="7" item="1"/>
          <tpl fld="8" item="4"/>
          <tpl fld="10" item="13"/>
          <tpl hier="64" item="0"/>
        </tpls>
      </n>
      <n v="2664815.4299999997" in="0">
        <tpls c="4">
          <tpl fld="7" item="0"/>
          <tpl fld="8" item="5"/>
          <tpl fld="10" item="13"/>
          <tpl hier="64" item="0"/>
        </tpls>
      </n>
      <n v="27581565.489999998" in="0">
        <tpls c="4">
          <tpl fld="7" item="1"/>
          <tpl fld="8" item="0"/>
          <tpl fld="10" item="80"/>
          <tpl hier="64" item="0"/>
        </tpls>
      </n>
      <n v="23450171.109999999" in="0">
        <tpls c="4">
          <tpl fld="7" item="0"/>
          <tpl fld="8" item="0"/>
          <tpl fld="10" item="80"/>
          <tpl hier="64" item="0"/>
        </tpls>
      </n>
      <n v="50658" in="1">
        <tpls c="4">
          <tpl fld="7" item="0"/>
          <tpl fld="8" item="3"/>
          <tpl fld="10" item="80"/>
          <tpl hier="64" item="0"/>
        </tpls>
      </n>
      <n v="38226994.310000002" in="0">
        <tpls c="4">
          <tpl fld="7" item="0"/>
          <tpl fld="8" item="0"/>
          <tpl fld="10" item="105"/>
          <tpl hier="64" item="0"/>
        </tpls>
      </n>
      <n v="275178" in="1">
        <tpls c="4">
          <tpl fld="7" item="0"/>
          <tpl fld="8" item="3"/>
          <tpl fld="10" item="105"/>
          <tpl hier="64" item="0"/>
        </tpls>
      </n>
      <n v="4049315.1899999995" in="0">
        <tpls c="4">
          <tpl fld="7" item="1"/>
          <tpl fld="8" item="0"/>
          <tpl fld="10" item="105"/>
          <tpl hier="64" item="0"/>
        </tpls>
      </n>
      <n v="114451.55" in="0">
        <tpls c="4">
          <tpl fld="7" item="0"/>
          <tpl fld="8" item="5"/>
          <tpl fld="10" item="78"/>
          <tpl hier="64" item="0"/>
        </tpls>
      </n>
      <n v="0" in="1">
        <tpls c="4">
          <tpl fld="7" item="0"/>
          <tpl fld="8" item="4"/>
          <tpl fld="10" item="78"/>
          <tpl hier="64" item="0"/>
        </tpls>
      </n>
      <n v="1455696.5699999998" in="0">
        <tpls c="4">
          <tpl fld="7" item="1"/>
          <tpl fld="8" item="0"/>
          <tpl fld="10" item="32"/>
          <tpl hier="64" item="0"/>
        </tpls>
      </n>
      <n v="298" in="1">
        <tpls c="4">
          <tpl fld="7" item="1"/>
          <tpl fld="8" item="3"/>
          <tpl fld="10" item="32"/>
          <tpl hier="64" item="0"/>
        </tpls>
      </n>
      <n v="76923.679999999993" in="0">
        <tpls c="4">
          <tpl fld="7" item="1"/>
          <tpl fld="8" item="0"/>
          <tpl fld="10" item="110"/>
          <tpl hier="64" item="0"/>
        </tpls>
      </n>
      <n v="999009.6399999999" in="0">
        <tpls c="4">
          <tpl fld="7" item="0"/>
          <tpl fld="8" item="0"/>
          <tpl fld="10" item="110"/>
          <tpl hier="64" item="0"/>
        </tpls>
      </n>
      <n v="50" in="1">
        <tpls c="4">
          <tpl fld="7" item="0"/>
          <tpl fld="8" item="3"/>
          <tpl fld="10" item="110"/>
          <tpl hier="64" item="0"/>
        </tpls>
      </n>
      <n v="58742148.309999995" in="0">
        <tpls c="4">
          <tpl fld="7" item="0"/>
          <tpl fld="8" item="0"/>
          <tpl fld="10" item="23"/>
          <tpl hier="64" item="0"/>
        </tpls>
      </n>
      <n v="83141261.530000001" in="0">
        <tpls c="4">
          <tpl fld="7" item="1"/>
          <tpl fld="8" item="0"/>
          <tpl fld="10" item="23"/>
          <tpl hier="64" item="0"/>
        </tpls>
      </n>
      <n v="66409" in="1">
        <tpls c="4">
          <tpl fld="7" item="0"/>
          <tpl fld="8" item="3"/>
          <tpl fld="10" item="23"/>
          <tpl hier="64" item="0"/>
        </tpls>
      </n>
      <n v="26" in="1">
        <tpls c="4">
          <tpl fld="7" item="0"/>
          <tpl fld="8" item="4"/>
          <tpl fld="10" item="91"/>
          <tpl hier="64" item="0"/>
        </tpls>
      </n>
      <n v="879904.85000000009" in="0">
        <tpls c="4">
          <tpl fld="7" item="1"/>
          <tpl fld="8" item="0"/>
          <tpl fld="10" item="33"/>
          <tpl hier="64" item="0"/>
        </tpls>
      </n>
      <n v="152" in="1">
        <tpls c="4">
          <tpl fld="7" item="1"/>
          <tpl fld="8" item="3"/>
          <tpl fld="10" item="33"/>
          <tpl hier="64" item="0"/>
        </tpls>
      </n>
      <n v="898774.14999999979" in="0">
        <tpls c="4">
          <tpl fld="7" item="0"/>
          <tpl fld="8" item="0"/>
          <tpl fld="10" item="33"/>
          <tpl hier="64" item="0"/>
        </tpls>
      </n>
      <n v="5521" in="1">
        <tpls c="4">
          <tpl fld="7" item="0"/>
          <tpl fld="8" item="4"/>
          <tpl fld="10" item="111"/>
          <tpl hier="64" item="0"/>
        </tpls>
      </n>
      <n v="14603204.020000001" in="0">
        <tpls c="4">
          <tpl fld="7" item="1"/>
          <tpl fld="8" item="5"/>
          <tpl fld="10" item="111"/>
          <tpl hier="64" item="0"/>
        </tpls>
      </n>
      <n v="13431368.779999996" in="0">
        <tpls c="4">
          <tpl fld="7" item="0"/>
          <tpl fld="8" item="5"/>
          <tpl fld="10" item="111"/>
          <tpl hier="64" item="0"/>
        </tpls>
      </n>
      <n v="4921" in="1">
        <tpls c="4">
          <tpl fld="7" item="1"/>
          <tpl fld="8" item="4"/>
          <tpl fld="10" item="111"/>
          <tpl hier="64" item="0"/>
        </tpls>
      </n>
      <n v="0" in="0">
        <tpls c="4">
          <tpl fld="7" item="0"/>
          <tpl fld="8" item="0"/>
          <tpl fld="10" item="25"/>
          <tpl hier="64" item="0"/>
        </tpls>
      </n>
      <n v="0" in="1">
        <tpls c="4">
          <tpl fld="7" item="1"/>
          <tpl fld="8" item="3"/>
          <tpl fld="10" item="25"/>
          <tpl hier="64" item="0"/>
        </tpls>
      </n>
      <n v="0" in="1">
        <tpls c="4">
          <tpl fld="7" item="0"/>
          <tpl fld="8" item="3"/>
          <tpl fld="10" item="25"/>
          <tpl hier="64" item="0"/>
        </tpls>
      </n>
      <n v="0" in="0">
        <tpls c="4">
          <tpl fld="7" item="1"/>
          <tpl fld="8" item="0"/>
          <tpl fld="10" item="25"/>
          <tpl hier="64" item="0"/>
        </tpls>
      </n>
      <n v="18699" in="1">
        <tpls c="4">
          <tpl fld="7" item="0"/>
          <tpl fld="8" item="3"/>
          <tpl fld="10" item="73"/>
          <tpl hier="64" item="0"/>
        </tpls>
      </n>
      <n v="7580638.8400000008" in="0">
        <tpls c="4">
          <tpl fld="7" item="1"/>
          <tpl fld="8" item="0"/>
          <tpl fld="10" item="73"/>
          <tpl hier="64" item="0"/>
        </tpls>
      </n>
      <n v="20125" in="1">
        <tpls c="4">
          <tpl fld="7" item="1"/>
          <tpl fld="8" item="3"/>
          <tpl fld="10" item="73"/>
          <tpl hier="64" item="0"/>
        </tpls>
      </n>
      <n v="7937023.9000000004" in="0">
        <tpls c="4">
          <tpl fld="7" item="0"/>
          <tpl fld="8" item="0"/>
          <tpl fld="10" item="2"/>
          <tpl hier="64" item="0"/>
        </tpls>
      </n>
      <n v="3871308.83" in="0">
        <tpls c="4">
          <tpl fld="7" item="1"/>
          <tpl fld="8" item="0"/>
          <tpl fld="10" item="2"/>
          <tpl hier="64" item="0"/>
        </tpls>
      </n>
      <n v="1137" in="1">
        <tpls c="4">
          <tpl fld="7" item="0"/>
          <tpl fld="8" item="3"/>
          <tpl fld="10" item="2"/>
          <tpl hier="64" item="0"/>
        </tpls>
      </n>
      <n v="1167" in="1">
        <tpls c="4">
          <tpl fld="7" item="1"/>
          <tpl fld="8" item="3"/>
          <tpl fld="10" item="2"/>
          <tpl hier="64" item="0"/>
        </tpls>
      </n>
      <n v="1" in="1">
        <tpls c="4">
          <tpl fld="7" item="1"/>
          <tpl fld="8" item="4"/>
          <tpl fld="10" item="44"/>
          <tpl hier="64" item="0"/>
        </tpls>
      </n>
      <n v="0" in="1">
        <tpls c="4">
          <tpl fld="7" item="0"/>
          <tpl fld="8" item="4"/>
          <tpl fld="10" item="44"/>
          <tpl hier="64" item="0"/>
        </tpls>
      </n>
      <n v="20000" in="0">
        <tpls c="4">
          <tpl fld="7" item="1"/>
          <tpl fld="8" item="5"/>
          <tpl fld="10" item="44"/>
          <tpl hier="64" item="0"/>
        </tpls>
      </n>
      <n v="128289599.80000004" in="0">
        <tpls c="4">
          <tpl fld="7" item="1"/>
          <tpl fld="8" item="0"/>
          <tpl fld="10" item="47"/>
          <tpl hier="64" item="0"/>
        </tpls>
      </n>
      <n v="117666437.74000001" in="0">
        <tpls c="4">
          <tpl fld="7" item="0"/>
          <tpl fld="8" item="0"/>
          <tpl fld="10" item="47"/>
          <tpl hier="64" item="0"/>
        </tpls>
      </n>
      <n v="14398" in="1">
        <tpls c="4">
          <tpl fld="7" item="1"/>
          <tpl fld="8" item="3"/>
          <tpl fld="10" item="47"/>
          <tpl hier="64" item="0"/>
        </tpls>
      </n>
      <n v="7189491.25" in="0">
        <tpls c="4">
          <tpl fld="7" item="0"/>
          <tpl fld="8" item="0"/>
          <tpl fld="10" item="102"/>
          <tpl hier="64" item="0"/>
        </tpls>
      </n>
      <n v="816" in="1">
        <tpls c="4">
          <tpl fld="7" item="1"/>
          <tpl fld="8" item="3"/>
          <tpl fld="10" item="102"/>
          <tpl hier="64" item="0"/>
        </tpls>
      </n>
      <n v="855" in="1">
        <tpls c="4">
          <tpl fld="7" item="0"/>
          <tpl fld="8" item="3"/>
          <tpl fld="10" item="102"/>
          <tpl hier="64" item="0"/>
        </tpls>
      </n>
      <n v="996672.31" in="0">
        <tpls c="4">
          <tpl fld="7" item="1"/>
          <tpl fld="8" item="0"/>
          <tpl fld="10" item="85"/>
          <tpl hier="64" item="0"/>
        </tpls>
      </n>
      <n v="432" in="1">
        <tpls c="4">
          <tpl fld="7" item="0"/>
          <tpl fld="8" item="3"/>
          <tpl fld="10" item="85"/>
          <tpl hier="64" item="0"/>
        </tpls>
      </n>
      <n v="71129545.729999989" in="0">
        <tpls c="4">
          <tpl fld="7" item="0"/>
          <tpl fld="8" item="5"/>
          <tpl fld="10" item="17"/>
          <tpl hier="64" item="0"/>
        </tpls>
      </n>
      <n v="1270" in="1">
        <tpls c="4">
          <tpl fld="7" item="1"/>
          <tpl fld="8" item="4"/>
          <tpl fld="10" item="17"/>
          <tpl hier="64" item="0"/>
        </tpls>
      </n>
      <n v="95002777.799999997" in="0">
        <tpls c="4">
          <tpl fld="7" item="1"/>
          <tpl fld="8" item="5"/>
          <tpl fld="10" item="17"/>
          <tpl hier="64" item="0"/>
        </tpls>
      </n>
      <n v="6819536.3099999996" in="0">
        <tpls c="4">
          <tpl fld="7" item="1"/>
          <tpl fld="8" item="5"/>
          <tpl fld="10" item="56"/>
          <tpl hier="64" item="0"/>
        </tpls>
      </n>
      <n v="3858114.1600000006" in="0">
        <tpls c="4">
          <tpl fld="7" item="0"/>
          <tpl fld="8" item="5"/>
          <tpl fld="10" item="56"/>
          <tpl hier="64" item="0"/>
        </tpls>
      </n>
      <n v="28" in="1">
        <tpls c="4">
          <tpl fld="7" item="1"/>
          <tpl fld="8" item="4"/>
          <tpl fld="10" item="56"/>
          <tpl hier="64" item="0"/>
        </tpls>
      </n>
      <n v="26" in="1">
        <tpls c="4">
          <tpl fld="7" item="0"/>
          <tpl fld="8" item="4"/>
          <tpl fld="10" item="56"/>
          <tpl hier="64" item="0"/>
        </tpls>
      </n>
      <n v="35077" in="1">
        <tpls c="4">
          <tpl fld="7" item="0"/>
          <tpl fld="8" item="3"/>
          <tpl fld="10" item="6"/>
          <tpl hier="64" item="0"/>
        </tpls>
      </n>
      <n v="34536" in="1">
        <tpls c="4">
          <tpl fld="7" item="1"/>
          <tpl fld="8" item="3"/>
          <tpl fld="10" item="6"/>
          <tpl hier="64" item="0"/>
        </tpls>
      </n>
      <n v="21002562.319999997" in="0">
        <tpls c="4">
          <tpl fld="7" item="1"/>
          <tpl fld="8" item="0"/>
          <tpl fld="10" item="6"/>
          <tpl hier="64" item="0"/>
        </tpls>
      </n>
      <n v="19241498.000000004" in="0">
        <tpls c="4">
          <tpl fld="7" item="1"/>
          <tpl fld="8" item="0"/>
          <tpl fld="10" item="111"/>
          <tpl hier="64" item="0"/>
        </tpls>
      </n>
      <n v="27734131.569999997" in="0">
        <tpls c="4">
          <tpl fld="7" item="0"/>
          <tpl fld="8" item="0"/>
          <tpl fld="10" item="111"/>
          <tpl hier="64" item="0"/>
        </tpls>
      </n>
      <n v="110121" in="1">
        <tpls c="4">
          <tpl fld="7" item="0"/>
          <tpl fld="8" item="3"/>
          <tpl fld="10" item="111"/>
          <tpl hier="64" item="0"/>
        </tpls>
      </n>
      <n v="61637" in="1">
        <tpls c="4">
          <tpl fld="7" item="1"/>
          <tpl fld="8" item="3"/>
          <tpl fld="10" item="111"/>
          <tpl hier="64" item="0"/>
        </tpls>
      </n>
      <n v="1803986167.0299997" in="0">
        <tpls c="2">
          <tpl fld="8" item="0"/>
          <tpl fld="10" item="61"/>
        </tpls>
      </n>
      <n v="28" in="1">
        <tpls c="4">
          <tpl fld="7" item="1"/>
          <tpl fld="8" item="4"/>
          <tpl fld="10" item="91"/>
          <tpl hier="64" item="0"/>
        </tpls>
      </n>
      <n v="34906253.470000006" in="0">
        <tpls c="4">
          <tpl fld="7" item="0"/>
          <tpl fld="8" item="5"/>
          <tpl fld="10" item="67"/>
          <tpl hier="64" item="0"/>
        </tpls>
      </n>
      <n v="55494956.099999994" in="0">
        <tpls c="4">
          <tpl fld="7" item="0"/>
          <tpl fld="8" item="5"/>
          <tpl fld="10" item="19"/>
          <tpl hier="64" item="0"/>
        </tpls>
      </n>
      <n v="0" in="0">
        <tpls c="4">
          <tpl fld="7" item="0"/>
          <tpl fld="8" item="5"/>
          <tpl fld="10" item="68"/>
          <tpl hier="64" item="0"/>
        </tpls>
      </n>
      <n v="112906708.58" in="0">
        <tpls c="4">
          <tpl fld="7" item="0"/>
          <tpl fld="8" item="0"/>
          <tpl fld="10" item="104"/>
          <tpl hier="64" item="0"/>
        </tpls>
      </n>
      <n v="66681030.330000013" in="0">
        <tpls c="4">
          <tpl fld="7" item="1"/>
          <tpl fld="8" item="0"/>
          <tpl fld="10" item="93"/>
          <tpl hier="64" item="0"/>
        </tpls>
      </n>
      <n v="136910" in="1">
        <tpls c="5">
          <tpl fld="1" item="23"/>
          <tpl fld="7" item="1"/>
          <tpl fld="8" item="3"/>
          <tpl hier="54" item="4294967295"/>
          <tpl hier="64" item="0"/>
        </tpls>
      </n>
      <n v="889156634.17999995" in="0">
        <tpls c="4">
          <tpl fld="7" item="0"/>
          <tpl fld="8" item="5"/>
          <tpl fld="10" item="62"/>
          <tpl hier="64" item="0"/>
        </tpls>
      </n>
      <n v="46070" in="1">
        <tpls c="4">
          <tpl fld="7" item="0"/>
          <tpl fld="8" item="3"/>
          <tpl fld="10" item="90"/>
          <tpl hier="64" item="0"/>
        </tpls>
      </n>
      <n v="18915117.309999999" in="0">
        <tpls c="4">
          <tpl fld="7" item="0"/>
          <tpl fld="8" item="0"/>
          <tpl fld="10" item="37"/>
          <tpl hier="64" item="0"/>
        </tpls>
      </n>
      <n v="0" in="1">
        <tpls c="4">
          <tpl fld="7" item="0"/>
          <tpl fld="8" item="4"/>
          <tpl fld="10" item="25"/>
          <tpl hier="64" item="0"/>
        </tpls>
      </n>
      <n v="102483" in="1">
        <tpls c="5">
          <tpl fld="1" item="23"/>
          <tpl fld="7" item="1"/>
          <tpl fld="8" item="3"/>
          <tpl fld="2" item="0"/>
          <tpl hier="64" item="0"/>
        </tpls>
      </n>
      <n v="1465" in="1">
        <tpls c="4">
          <tpl fld="7" item="0"/>
          <tpl fld="8" item="4"/>
          <tpl fld="10" item="17"/>
          <tpl hier="64" item="0"/>
        </tpls>
      </n>
      <n v="1238370.51" in="0">
        <tpls c="4">
          <tpl fld="7" item="0"/>
          <tpl fld="8" item="0"/>
          <tpl fld="10" item="85"/>
          <tpl hier="64" item="0"/>
        </tpls>
      </n>
      <n v="207663872.88999999" in="0">
        <tpls c="5">
          <tpl fld="1" item="23"/>
          <tpl fld="7" item="1"/>
          <tpl fld="8" item="0"/>
          <tpl hier="60" item="4294967295"/>
          <tpl hier="64" item="0"/>
        </tpls>
      </n>
      <n v="116344648.93000001" in="0">
        <tpls c="5">
          <tpl fld="1" item="23"/>
          <tpl fld="7" item="1"/>
          <tpl fld="8" item="0"/>
          <tpl fld="9" item="0"/>
          <tpl hier="64" item="0"/>
        </tpls>
      </n>
      <n v="36996" in="1">
        <tpls c="4">
          <tpl fld="7" item="1"/>
          <tpl fld="8" item="3"/>
          <tpl fld="10" item="105"/>
          <tpl hier="64" item="0"/>
        </tpls>
      </n>
      <n v="1400849881.8300014" in="0">
        <tpls c="2">
          <tpl fld="8" item="0"/>
          <tpl fld="3" item="16"/>
        </tpls>
      </n>
      <n v="0" in="0">
        <tpls c="4">
          <tpl fld="7" item="1"/>
          <tpl fld="8" item="5"/>
          <tpl fld="10" item="106"/>
          <tpl hier="64" item="0"/>
        </tpls>
      </n>
      <n v="152735" in="1">
        <tpls c="4">
          <tpl fld="7" item="1"/>
          <tpl fld="8" item="4"/>
          <tpl fld="10" item="104"/>
          <tpl hier="64" item="0"/>
        </tpls>
      </n>
      <n v="61737218259.290092" in="0">
        <tpls c="2">
          <tpl fld="8" item="0"/>
          <tpl fld="3" item="6"/>
        </tpls>
      </n>
      <n v="82328336.899999961" in="0">
        <tpls c="2">
          <tpl fld="8" item="0"/>
          <tpl fld="3" item="17"/>
        </tpls>
      </n>
      <n v="171130332" in="1">
        <tpls c="1">
          <tpl fld="8" item="3"/>
        </tpls>
      </n>
      <n v="0" in="1">
        <tpls c="4">
          <tpl fld="7" item="1"/>
          <tpl fld="8" item="4"/>
          <tpl fld="10" item="24"/>
          <tpl hier="64" item="0"/>
        </tpls>
      </n>
      <n v="399" in="1">
        <tpls c="4">
          <tpl fld="7" item="1"/>
          <tpl fld="8" item="4"/>
          <tpl fld="10" item="45"/>
          <tpl hier="64" item="0"/>
        </tpls>
      </n>
      <n v="11430.72" in="0">
        <tpls c="4">
          <tpl fld="7" item="1"/>
          <tpl fld="8" item="5"/>
          <tpl fld="10" item="40"/>
          <tpl hier="64" item="0"/>
        </tpls>
      </n>
      <n v="49" in="1">
        <tpls c="4">
          <tpl fld="7" item="1"/>
          <tpl fld="8" item="3"/>
          <tpl fld="10" item="29"/>
          <tpl hier="64" item="0"/>
        </tpls>
      </n>
      <n v="29888520.460000005" in="0">
        <tpls c="4">
          <tpl fld="7" item="0"/>
          <tpl fld="8" item="5"/>
          <tpl fld="10" item="5"/>
          <tpl hier="64" item="0"/>
        </tpls>
      </n>
      <n v="1171800542.8300004" in="0">
        <tpls c="2">
          <tpl fld="8" item="0"/>
          <tpl fld="10" item="31"/>
        </tpls>
      </n>
      <n v="86255" in="1">
        <tpls c="4">
          <tpl fld="7" item="1"/>
          <tpl fld="8" item="4"/>
          <tpl fld="10" item="90"/>
          <tpl hier="64" item="0"/>
        </tpls>
      </n>
      <n v="8" in="1">
        <tpls c="4">
          <tpl fld="7" item="1"/>
          <tpl fld="8" item="4"/>
          <tpl fld="10" item="39"/>
          <tpl hier="64" item="0"/>
        </tpls>
      </n>
      <n v="209100" in="1">
        <tpls c="4">
          <tpl fld="7" item="0"/>
          <tpl fld="8" item="3"/>
          <tpl fld="10" item="28"/>
          <tpl hier="64" item="0"/>
        </tpls>
      </n>
      <n v="34427" in="1">
        <tpls c="5">
          <tpl fld="1" item="23"/>
          <tpl fld="7" item="1"/>
          <tpl fld="8" item="3"/>
          <tpl fld="2" item="1"/>
          <tpl hier="64" item="0"/>
        </tpls>
      </n>
      <n v="21" in="1">
        <tpls c="4">
          <tpl fld="7" item="0"/>
          <tpl fld="8" item="4"/>
          <tpl fld="10" item="34"/>
          <tpl hier="64" item="0"/>
        </tpls>
      </n>
      <n v="89637.579999999987" in="0">
        <tpls c="4">
          <tpl fld="7" item="1"/>
          <tpl fld="8" item="5"/>
          <tpl fld="10" item="66"/>
          <tpl hier="64" item="0"/>
        </tpls>
      </n>
      <n v="698636.61" in="0">
        <tpls c="4">
          <tpl fld="7" item="0"/>
          <tpl fld="8" item="0"/>
          <tpl fld="10" item="77"/>
          <tpl hier="64" item="0"/>
        </tpls>
      </n>
      <n v="2626" in="1">
        <tpls c="4">
          <tpl fld="7" item="1"/>
          <tpl fld="8" item="3"/>
          <tpl fld="10" item="34"/>
          <tpl hier="64" item="0"/>
        </tpls>
      </n>
      <n v="91319223.960000008" in="0">
        <tpls c="5">
          <tpl fld="1" item="23"/>
          <tpl fld="7" item="1"/>
          <tpl fld="8" item="0"/>
          <tpl fld="9" item="1"/>
          <tpl hier="64" item="0"/>
        </tpls>
      </n>
    </entries>
    <sets count="1">
      <set count="9" maxRank="1" setDefinition="{[Učestalost podataka].[Učestalost podatka].&amp;[11],[Učestalost podataka].[Učestalost podatka].&amp;[12],[Učestalost podataka].[Učestalost podatka].&amp;[13],[Učestalost podataka].[Učestalost podatka].&amp;[14],[Učestalost podataka].[Učestalost podatka].&amp;[15],[Učestalost podataka].[Učestalost podatka].&amp;[16],[Učestalost podataka].[Učestalost podatka].&amp;[17],[Učestalost podataka].[Učestalost podatka].&amp;[18],[Učestalost podataka].[Učestalost podatka].&amp;[19]}">
        <tpls c="1">
          <tpl fld="0" item="0"/>
        </tpls>
      </set>
    </sets>
    <queryCache count="232">
      <query mdx="[Društva].[Hierarchy].[Društvo].&amp;[37]">
        <tpls c="1">
          <tpl fld="1" item="0"/>
        </tpls>
      </query>
      <query mdx="[Rizici].[hSkupineRiziciOsiguranja].[Vrsta osiguranja].&amp;[16]">
        <tpls c="1">
          <tpl fld="3" item="0"/>
        </tpls>
      </query>
      <query mdx="[Podvrste osiguranja].[hPodvrsteOsiguranja].[Rizik].&amp;[110]">
        <tpls c="1">
          <tpl fld="6" item="0"/>
        </tpls>
      </query>
      <query mdx="[Rizici].[hSkupineRiziciOsiguranja].[Vrsta osiguranja].&amp;[24]">
        <tpls c="1">
          <tpl fld="3" item="1"/>
        </tpls>
      </query>
      <query mdx="[Društva].[Hierarchy].[Društvo].&amp;[10]">
        <tpls c="1">
          <tpl fld="1" item="1"/>
        </tpls>
      </query>
      <query mdx="[Rizici].[hSkupineRiziciOsiguranja].[Vrsta osiguranja].&amp;[20]">
        <tpls c="1">
          <tpl fld="3" item="2"/>
        </tpls>
      </query>
      <query mdx="[Društva].[Hierarchy].[Društvo].&amp;[18]">
        <tpls c="1">
          <tpl fld="1" item="2"/>
        </tpls>
      </query>
      <query mdx="[Rizici].[hSkupineRiziciOsiguranja].[Vrsta osiguranja].&amp;[9]">
        <tpls c="1">
          <tpl fld="3" item="3"/>
        </tpls>
      </query>
      <query mdx="[Podvrste osiguranja].[hPodvrsteOsiguranja].[Rizik].&amp;[109]">
        <tpls c="1">
          <tpl fld="6" item="1"/>
        </tpls>
      </query>
      <query mdx="[Rizici].[hSkupineRiziciOsiguranja].[Vrsta osiguranja].&amp;[13]">
        <tpls c="1">
          <tpl fld="3" item="4"/>
        </tpls>
      </query>
      <query mdx="[Rizici].[hSkupineRiziciOsiguranja].[Vrsta osiguranja].&amp;[1]">
        <tpls c="1">
          <tpl fld="3" item="5"/>
        </tpls>
      </query>
      <query mdx="[Rizici].[hSkupineRiziciOsiguranja].[Vrsta osiguranja].&amp;[10]">
        <tpls c="1">
          <tpl fld="3" item="6"/>
        </tpls>
      </query>
      <query mdx="[Društva].[Hierarchy].[Društvo].&amp;[21]">
        <tpls c="1">
          <tpl fld="1" item="3"/>
        </tpls>
      </query>
      <query mdx="[Godina Podatka].[Godina podatka].[2014]">
        <tpls c="1">
          <tpl fld="7" item="0"/>
        </tpls>
      </query>
      <query mdx="[Measures].[Zaračunata bruto premija osiguranja- rizici]">
        <tpls c="1">
          <tpl fld="8" item="0"/>
        </tpls>
      </query>
      <query mdx="[Skupine osiguranja].[Skupina osiguranja].[Sve]">
        <tpls c="1">
          <tpl hier="60" item="4294967295"/>
        </tpls>
      </query>
      <query mdx="[Podvrste osiguranja].[hPodvrsteOsiguranja].[Rizik].&amp;[108]">
        <tpls c="1">
          <tpl fld="6" item="2"/>
        </tpls>
      </query>
      <query mdx="[Rizici].[hSkupineRiziciOsiguranja].[Vrsta osiguranja].&amp;[3]">
        <tpls c="1">
          <tpl fld="3" item="7"/>
        </tpls>
      </query>
      <query mdx="[Rizici].[hSkupineRiziciOsiguranja].[Vrsta osiguranja].&amp;[14]">
        <tpls c="1">
          <tpl fld="3" item="8"/>
        </tpls>
      </query>
      <query mdx="[Podvrste osiguranja].[hPodvrsteOsiguranja].[Rizik].&amp;[114]">
        <tpls c="1">
          <tpl fld="6" item="3"/>
        </tpls>
      </query>
      <query mdx="[Podvrste osiguranja].[hPodvrsteOsiguranja].[Rizik].&amp;[117]">
        <tpls c="1">
          <tpl fld="6" item="4"/>
        </tpls>
      </query>
      <query mdx="[Rizici].[hSkupineRiziciOsiguranja].[Vrsta osiguranja].&amp;[22]">
        <tpls c="1">
          <tpl fld="3" item="9"/>
        </tpls>
      </query>
      <query mdx="[Društva].[Hierarchy].[All]">
        <tpls c="1">
          <tpl hier="22" item="4294967295"/>
        </tpls>
      </query>
      <query mdx="[Godina Podatka].[Godina podatka].&amp;[2014]">
        <tpls c="1">
          <tpl fld="7" item="0"/>
        </tpls>
      </query>
      <query mdx="[Measures].[Broj novih osiguranja s jednokratnim plaćanjem premije]">
        <tpls c="1">
          <tpl fld="8" item="1"/>
        </tpls>
      </query>
      <query mdx="[Podvrste osiguranja].[hPodvrsteOsiguranja].[Rizik].&amp;[119]">
        <tpls c="1">
          <tpl fld="6" item="5"/>
        </tpls>
      </query>
      <query mdx="[Rizici].[hSkupineRiziciOsiguranja].[Skupina osiguranja].&amp;[1]">
        <tpls c="1">
          <tpl fld="2" item="0"/>
        </tpls>
      </query>
      <query mdx="[Rizici].[hSkupineRiziciOsiguranja].[Vrsta osiguranja].&amp;[23]">
        <tpls c="1">
          <tpl fld="3" item="10"/>
        </tpls>
      </query>
      <query mdx="[Podvrste osiguranja].[hPodvrsteOsiguranja].[Rizik].&amp;[115]">
        <tpls c="1">
          <tpl fld="6" item="6"/>
        </tpls>
      </query>
      <query mdx="[Podvrste osiguranja].[hPodvrsteOsiguranja].[Rizik].&amp;[100]">
        <tpls c="1">
          <tpl fld="6" item="7"/>
        </tpls>
      </query>
      <query mdx="[Društva].[Hierarchy].[Društvo].&amp;[20]">
        <tpls c="1">
          <tpl fld="1" item="4"/>
        </tpls>
      </query>
      <query mdx="[Rizici].[hSkupineRiziciOsiguranja].[Vrsta osiguranja].&amp;[8]">
        <tpls c="1">
          <tpl fld="3" item="11"/>
        </tpls>
      </query>
      <query mdx="[Rizici].[hSkupineRiziciOsiguranja].[Vrsta osiguranja].&amp;[19]">
        <tpls c="1">
          <tpl fld="3" item="12"/>
        </tpls>
      </query>
      <query mdx="[Rizici].[hSkupineRiziciOsiguranja].[Sve]">
        <tpls c="1">
          <tpl hier="54" item="4294967295"/>
        </tpls>
      </query>
      <query mdx="[Measures].[Broj novih osiguranja s višekratnim plaćanjem premije]">
        <tpls c="1">
          <tpl fld="8" item="2"/>
        </tpls>
      </query>
      <query mdx="[Rizici].[hSkupineRiziciOsiguranja].[Vrsta osiguranja].&amp;[12]">
        <tpls c="1">
          <tpl fld="3" item="13"/>
        </tpls>
      </query>
      <query mdx="[Measures].[Broj osiguranja- rizici]">
        <tpls c="1">
          <tpl fld="8" item="3"/>
        </tpls>
      </query>
      <query mdx="[Rizici].[hSkupineRiziciOsiguranja].[Vrsta osiguranja].&amp;[18]">
        <tpls c="1">
          <tpl fld="3" item="14"/>
        </tpls>
      </query>
      <query mdx="[Društva].[Hierarchy].[Društvo].&amp;[31]">
        <tpls c="1">
          <tpl fld="1" item="5"/>
        </tpls>
      </query>
      <query mdx="[Društva].[Hierarchy].[Društvo].&amp;[15]">
        <tpls c="1">
          <tpl fld="1" item="6"/>
        </tpls>
      </query>
      <query mdx="[Skupine osiguranja].[Skupina osiguranja].[Neživot]">
        <tpls c="1">
          <tpl fld="9" item="0"/>
        </tpls>
      </query>
      <query mdx="[Društva].[Hierarchy].[Društvo].&amp;[41]">
        <tpls c="1">
          <tpl fld="1" item="7"/>
        </tpls>
      </query>
      <query mdx="[Društva].[Hierarchy].[Društvo].&amp;[23]">
        <tpls c="1">
          <tpl fld="1" item="8"/>
        </tpls>
      </query>
      <query mdx="[Društva].[Hierarchy].[Društvo].&amp;[35]">
        <tpls c="1">
          <tpl fld="1" item="9"/>
        </tpls>
      </query>
      <query mdx="[Društva].[Hierarchy].[Društvo].&amp;[39]">
        <tpls c="1">
          <tpl fld="1" item="10"/>
        </tpls>
      </query>
      <query mdx="[Skupine osiguranja].[Skupina osiguranja].[Život]">
        <tpls c="1">
          <tpl fld="9" item="1"/>
        </tpls>
      </query>
      <query mdx="[Društva].[Hierarchy].[Društvo].&amp;[16]">
        <tpls c="1">
          <tpl fld="1" item="11"/>
        </tpls>
      </query>
      <query mdx="[Rizici].[hSkupineRiziciOsiguranja].[Skupina osiguranja].[Neživot]">
        <tpls c="1">
          <tpl fld="2" item="0"/>
        </tpls>
      </query>
      <query mdx="[Društva].[Hierarchy].[Društvo].&amp;[32]">
        <tpls c="1">
          <tpl fld="1" item="12"/>
        </tpls>
      </query>
      <query mdx="[Društva].[Hierarchy].[Društvo].&amp;[29]">
        <tpls c="1">
          <tpl fld="1" item="13"/>
        </tpls>
      </query>
      <query mdx="[Rizici].[hSkupineRiziciOsiguranja].[Vrsta osiguranja].&amp;[21]">
        <tpls c="1">
          <tpl fld="3" item="15"/>
        </tpls>
      </query>
      <query mdx="[Rizici].[hSkupineRiziciOsiguranja].[Vrsta osiguranja].&amp;[7]">
        <tpls c="1">
          <tpl fld="3" item="16"/>
        </tpls>
      </query>
      <query mdx="[Rizici].[hSkupineRiziciOsiguranja].[Vrsta osiguranja].&amp;[11]">
        <tpls c="1">
          <tpl fld="3" item="17"/>
        </tpls>
      </query>
      <query mdx="[Rizici].[hSkupineRiziciOsiguranja].[Vrsta osiguranja].&amp;[17]">
        <tpls c="1">
          <tpl fld="3" item="18"/>
        </tpls>
      </query>
      <query mdx="[Podvrste osiguranja].[hPodvrsteOsiguranja].[Rizik].&amp;[120]">
        <tpls c="1">
          <tpl fld="6" item="8"/>
        </tpls>
      </query>
      <query mdx="[Rizici].[hSkupineRiziciOsiguranja].[Vrsta osiguranja].&amp;[25]">
        <tpls c="1">
          <tpl fld="3" item="19"/>
        </tpls>
      </query>
      <query mdx="[Measures].[Broj šteta - rizici]">
        <tpls c="1">
          <tpl fld="8" item="4"/>
        </tpls>
      </query>
      <query mdx="[Rizici].[hSkupineRiziciOsiguranja].[Vrsta osiguranja].&amp;[4]">
        <tpls c="1">
          <tpl fld="3" item="20"/>
        </tpls>
      </query>
      <query mdx="[Rizici].[hSkupineRiziciOsiguranja].[Skupina osiguranja].&amp;[2]">
        <tpls c="1">
          <tpl fld="2" item="1"/>
        </tpls>
      </query>
      <query mdx="[Rizici].[hSkupineRiziciOsiguranja].[Vrsta osiguranja].&amp;[15]">
        <tpls c="1">
          <tpl fld="3" item="21"/>
        </tpls>
      </query>
      <query mdx="[Rizici].[hSkupineRiziciOsiguranja].[Vrsta osiguranja].&amp;[6]">
        <tpls c="1">
          <tpl fld="3" item="22"/>
        </tpls>
      </query>
      <query mdx="[Rizici].[hSkupineRiziciOsiguranja].[Vrsta osiguranja].&amp;[2]">
        <tpls c="1">
          <tpl fld="3" item="23"/>
        </tpls>
      </query>
      <query mdx="[Measures].[Likvidirane štete bruto - rizici]">
        <tpls c="1">
          <tpl fld="8" item="5"/>
        </tpls>
      </query>
      <query mdx="[Podvrste osiguranja].[hPodvrsteOsiguranja].[Rizik].&amp;[121]">
        <tpls c="1">
          <tpl fld="6" item="9"/>
        </tpls>
      </query>
      <query mdx="[Društva].[Hierarchy].[Društvo].&amp;[34]">
        <tpls c="1">
          <tpl fld="1" item="14"/>
        </tpls>
      </query>
      <query mdx="[Rizici].[hSkupineRiziciOsiguranja].[Vrsta osiguranja].&amp;[5]">
        <tpls c="1">
          <tpl fld="3" item="24"/>
        </tpls>
      </query>
      <query mdx="[Measures].[Zaračunata bruto premija novih osiguranja s jednokratnim plaćanjem premije]">
        <tpls c="1">
          <tpl fld="8" item="6"/>
        </tpls>
      </query>
      <query mdx="[Rizici].[hSkupineRiziciOsiguranja].[Skupina osiguranja].[Život]">
        <tpls c="1">
          <tpl fld="2" item="1"/>
        </tpls>
      </query>
      <query mdx="[Društva].[Hierarchy].[Društvo].&amp;[40]">
        <tpls c="1">
          <tpl fld="1" item="15"/>
        </tpls>
      </query>
      <query mdx="[Podvrste osiguranja].[hPodvrsteOsiguranja].[Rizik].&amp;[98]">
        <tpls c="1">
          <tpl fld="6" item="10"/>
        </tpls>
      </query>
      <query mdx="[Društva].[Hierarchy].[Društvo].&amp;[6]">
        <tpls c="1">
          <tpl fld="1" item="16"/>
        </tpls>
      </query>
      <query mdx="[Društva].[Hierarchy].[Društvo].&amp;[197]">
        <tpls c="1">
          <tpl fld="1" item="17"/>
        </tpls>
      </query>
      <query mdx="[Measures].[Zaračunata bruto premija novih osiguranja s višekratnim plaćanjem premije]">
        <tpls c="1">
          <tpl fld="8" item="7"/>
        </tpls>
      </query>
      <query mdx="[Podvrste osiguranja].[hPodvrsteOsiguranja].[Rizik].&amp;[112]">
        <tpls c="1">
          <tpl fld="6" item="11"/>
        </tpls>
      </query>
      <query mdx="[Društva].[Hierarchy].[Društvo].&amp;[38]">
        <tpls c="1">
          <tpl fld="1" item="18"/>
        </tpls>
      </query>
      <query mdx="[Podvrste osiguranja].[hPodvrsteOsiguranja].[Rizik].&amp;[116]">
        <tpls c="1">
          <tpl fld="6" item="12"/>
        </tpls>
      </query>
      <query mdx="[Društva].[Hierarchy].[Društvo].&amp;[8]">
        <tpls c="1">
          <tpl fld="1" item="19"/>
        </tpls>
      </query>
      <query mdx="[Podvrste osiguranja].[hPodvrsteOsiguranja].[Rizik].&amp;[99]">
        <tpls c="1">
          <tpl fld="6" item="13"/>
        </tpls>
      </query>
      <query mdx="[Podvrste osiguranja].[hPodvrsteOsiguranja].[Rizik].&amp;[97]">
        <tpls c="1">
          <tpl fld="6" item="14"/>
        </tpls>
      </query>
      <query mdx="[Podvrste osiguranja].[hPodvrsteOsiguranja].[Rizik].&amp;[122]">
        <tpls c="1">
          <tpl fld="6" item="15"/>
        </tpls>
      </query>
      <query mdx="[Podvrste osiguranja].[hPodvrsteOsiguranja].[Rizik].&amp;[118]">
        <tpls c="1">
          <tpl fld="6" item="16"/>
        </tpls>
      </query>
      <query mdx="[Društva].[Hierarchy].[Društvo].&amp;[12]">
        <tpls c="1">
          <tpl fld="1" item="20"/>
        </tpls>
      </query>
      <query mdx="[Društva].[Hierarchy].[Društvo].&amp;[30]">
        <tpls c="1">
          <tpl fld="1" item="21"/>
        </tpls>
      </query>
      <query mdx="[Podvrste osiguranja].[hPodvrsteOsiguranja].[Rizik].&amp;[113]">
        <tpls c="1">
          <tpl fld="6" item="17"/>
        </tpls>
      </query>
      <query mdx="[Društva].[Hierarchy].[Društvo].&amp;[33]">
        <tpls c="1">
          <tpl fld="1" item="22"/>
        </tpls>
      </query>
      <query mdx="[Društva].[Hierarchy].[Društvo].&amp;[25]">
        <tpls c="1">
          <tpl fld="1" item="23"/>
        </tpls>
      </query>
      <query mdx="[Društva].[Hierarchy].[Društvo].&amp;[36]">
        <tpls c="1">
          <tpl fld="1" item="24"/>
        </tpls>
      </query>
      <query mdx="[Društva].[Hierarchy].[Društvo].&amp;[5]">
        <tpls c="1">
          <tpl fld="1" item="25"/>
        </tpls>
      </query>
      <query mdx="[Podvrste osiguranja].[hPodvrsteOsiguranja].[Rizik].&amp;[96]">
        <tpls c="1">
          <tpl fld="6" item="18"/>
        </tpls>
      </query>
      <query mdx="[Podvrste osiguranja].[hPodvrsteOsiguranja].[Rizik].&amp;[111]">
        <tpls c="1">
          <tpl fld="6" item="19"/>
        </tpls>
      </query>
      <query mdx="[Godina Podatka].[Godina podatka].[2013]">
        <tpls c="1">
          <tpl fld="7" item="1"/>
        </tpls>
      </query>
      <query mdx="[Rizici].[hSkupineRiziciOsiguranja].[Rizik].&amp;[9]">
        <tpls c="1">
          <tpl fld="10" item="0"/>
        </tpls>
      </query>
      <query mdx="[Rizici].[hSkupineRiziciOsiguranja].[Rizik].&amp;[52]">
        <tpls c="1">
          <tpl fld="10" item="1"/>
        </tpls>
      </query>
      <query mdx="[Rizici].[hSkupineRiziciOsiguranja].[Rizik].&amp;[109]">
        <tpls c="1">
          <tpl fld="10" item="2"/>
        </tpls>
      </query>
      <query mdx="[Rizici].[hSkupineRiziciOsiguranja].[Rizik].&amp;[37]">
        <tpls c="1">
          <tpl fld="10" item="3"/>
        </tpls>
      </query>
      <query mdx="[Rizici].[hSkupineRiziciOsiguranja].[Rizik].&amp;[60]">
        <tpls c="1">
          <tpl fld="10" item="4"/>
        </tpls>
      </query>
      <query mdx="[Rizici].[hSkupineRiziciOsiguranja].[Rizik].&amp;[120]">
        <tpls c="1">
          <tpl fld="10" item="5"/>
        </tpls>
      </query>
      <query mdx="[Rizici].[hSkupineRiziciOsiguranja].[Rizik].&amp;[38]">
        <tpls c="1">
          <tpl fld="10" item="6"/>
        </tpls>
      </query>
      <query mdx="[Rizici].[hSkupineRiziciOsiguranja].[Rizik].&amp;[70]">
        <tpls c="1">
          <tpl fld="10" item="7"/>
        </tpls>
      </query>
      <query mdx="[Rizici].[hSkupineRiziciOsiguranja].[Rizik].&amp;[97]">
        <tpls c="1">
          <tpl fld="10" item="8"/>
        </tpls>
      </query>
      <query mdx="[Rizici].[hSkupineRiziciOsiguranja].[Rizik].&amp;[71]">
        <tpls c="1">
          <tpl fld="10" item="9"/>
        </tpls>
      </query>
      <query mdx="[Rizici].[hSkupineRiziciOsiguranja].[Rizik].&amp;[2]">
        <tpls c="1">
          <tpl fld="10" item="10"/>
        </tpls>
      </query>
      <query mdx="[Rizici].[hSkupineRiziciOsiguranja].[Rizik].&amp;[25]">
        <tpls c="1">
          <tpl fld="10" item="11"/>
        </tpls>
      </query>
      <query mdx="[Rizici].[hSkupineRiziciOsiguranja].[Rizik].&amp;[1]">
        <tpls c="1">
          <tpl fld="10" item="12"/>
        </tpls>
      </query>
      <query mdx="[Rizici].[hSkupineRiziciOsiguranja].[Rizik].&amp;[55]">
        <tpls c="1">
          <tpl fld="10" item="13"/>
        </tpls>
      </query>
      <query mdx="[Rizici].[hSkupineRiziciOsiguranja].[Rizik].&amp;[3]">
        <tpls c="1">
          <tpl fld="10" item="14"/>
        </tpls>
      </query>
      <query mdx="[Rizici].[hSkupineRiziciOsiguranja].[Rizik].&amp;[24]">
        <tpls c="1">
          <tpl fld="10" item="15"/>
        </tpls>
      </query>
      <query mdx="[Rizici].[hSkupineRiziciOsiguranja].[Rizik].&amp;[122]">
        <tpls c="1">
          <tpl fld="10" item="16"/>
        </tpls>
      </query>
      <query mdx="[Rizici].[hSkupineRiziciOsiguranja].[Rizik].&amp;[34]">
        <tpls c="1">
          <tpl fld="10" item="17"/>
        </tpls>
      </query>
      <query mdx="[Rizici].[hSkupineRiziciOsiguranja].[Rizik].&amp;[93]">
        <tpls c="1">
          <tpl fld="10" item="18"/>
        </tpls>
      </query>
      <query mdx="[Rizici].[hSkupineRiziciOsiguranja].[Rizik].&amp;[47]">
        <tpls c="1">
          <tpl fld="10" item="19"/>
        </tpls>
      </query>
      <query mdx="[Rizici].[hSkupineRiziciOsiguranja].[Rizik].&amp;[41]">
        <tpls c="1">
          <tpl fld="10" item="20"/>
        </tpls>
      </query>
      <query mdx="[Rizici].[hSkupineRiziciOsiguranja].[Rizik].&amp;[85]">
        <tpls c="1">
          <tpl fld="10" item="21"/>
        </tpls>
      </query>
      <query mdx="[Rizici].[hSkupineRiziciOsiguranja].[Rizik].&amp;[31]">
        <tpls c="1">
          <tpl fld="10" item="22"/>
        </tpls>
      </query>
      <query mdx="[Rizici].[hSkupineRiziciOsiguranja].[Rizik].&amp;[48]">
        <tpls c="1">
          <tpl fld="10" item="23"/>
        </tpls>
      </query>
      <query mdx="[Rizici].[hSkupineRiziciOsiguranja].[Rizik].&amp;[63]">
        <tpls c="1">
          <tpl fld="10" item="24"/>
        </tpls>
      </query>
      <query mdx="[Vrste osiguranja].[hSkupineVrsteOsiguranja].[Vrsta osiguranja].&amp;[23]">
        <tpls c="1">
          <tpl fld="12" item="0"/>
        </tpls>
      </query>
      <query mdx="[Rizici].[hSkupineRiziciOsiguranja].[Rizik].&amp;[117]">
        <tpls c="1">
          <tpl fld="10" item="25"/>
        </tpls>
      </query>
      <query mdx="[Rizici].[hSkupineRiziciOsiguranja].[Rizik].&amp;[77]">
        <tpls c="1">
          <tpl fld="10" item="26"/>
        </tpls>
      </query>
      <query mdx="[Rizici].[hSkupineRiziciOsiguranja].[Rizik].&amp;[57]">
        <tpls c="1">
          <tpl fld="10" item="27"/>
        </tpls>
      </query>
      <query mdx="[Rizici].[hSkupineRiziciOsiguranja].[Rizik].&amp;[16]">
        <tpls c="1">
          <tpl fld="10" item="28"/>
        </tpls>
      </query>
      <query mdx="[Rizici].[hSkupineRiziciOsiguranja].[Rizik].&amp;[79]">
        <tpls c="1">
          <tpl fld="10" item="29"/>
        </tpls>
      </query>
      <query mdx="[Rizici].[hSkupineRiziciOsiguranja].[Rizik].&amp;[89]">
        <tpls c="1">
          <tpl fld="10" item="30"/>
        </tpls>
      </query>
      <query mdx="[Rizici].[hSkupineRiziciOsiguranja].[Rizik].&amp;[119]">
        <tpls c="1">
          <tpl fld="10" item="31"/>
        </tpls>
      </query>
      <query mdx="[Godina Podatka].[Godina podatka].&amp;[2013]">
        <tpls c="1">
          <tpl fld="7" item="1"/>
        </tpls>
      </query>
      <query mdx="[Rizici].[hSkupineRiziciOsiguranja].[Rizik].&amp;[69]">
        <tpls c="1">
          <tpl fld="10" item="32"/>
        </tpls>
      </query>
      <query mdx="[Rizici].[hSkupineRiziciOsiguranja].[Rizik].&amp;[45]">
        <tpls c="1">
          <tpl fld="10" item="33"/>
        </tpls>
      </query>
      <query mdx="[Rizici].[hSkupineRiziciOsiguranja].[Rizik].&amp;[58]">
        <tpls c="1">
          <tpl fld="10" item="34"/>
        </tpls>
      </query>
      <query mdx="[Rizici].[hSkupineRiziciOsiguranja].[Rizik].&amp;[7]">
        <tpls c="1">
          <tpl fld="10" item="35"/>
        </tpls>
      </query>
      <query mdx="[Rizici].[hSkupineRiziciOsiguranja].[Rizik].&amp;[121]">
        <tpls c="1">
          <tpl fld="10" item="36"/>
        </tpls>
      </query>
      <query mdx="[Rizici].[hSkupineRiziciOsiguranja].[Rizik].&amp;[26]">
        <tpls c="1">
          <tpl fld="10" item="37"/>
        </tpls>
      </query>
      <query mdx="[Rizici].[hSkupineRiziciOsiguranja].[Rizik].&amp;[30]">
        <tpls c="1">
          <tpl fld="10" item="38"/>
        </tpls>
      </query>
      <query mdx="[Rizici].[hSkupineRiziciOsiguranja].[Rizik].&amp;[20]">
        <tpls c="1">
          <tpl fld="10" item="39"/>
        </tpls>
      </query>
      <query mdx="[Rizici].[hSkupineRiziciOsiguranja].[Rizik].&amp;[42]">
        <tpls c="1">
          <tpl fld="10" item="40"/>
        </tpls>
      </query>
      <query mdx="[Vrste osiguranja].[hSkupineVrsteOsiguranja].[Vrsta osiguranja].&amp;[14]">
        <tpls c="1">
          <tpl fld="12" item="1"/>
        </tpls>
      </query>
      <query mdx="[Rizici].[hSkupineRiziciOsiguranja].[Rizik].&amp;[23]">
        <tpls c="1">
          <tpl fld="10" item="41"/>
        </tpls>
      </query>
      <query mdx="[Rizici].[hSkupineRiziciOsiguranja].[Rizik].&amp;[95]">
        <tpls c="1">
          <tpl fld="10" item="42"/>
        </tpls>
      </query>
      <query mdx="[Rizici].[hSkupineRiziciOsiguranja].[Rizik].&amp;[83]">
        <tpls c="1">
          <tpl fld="10" item="43"/>
        </tpls>
      </query>
      <query mdx="[Rizici].[hSkupineRiziciOsiguranja].[Rizik].&amp;[86]">
        <tpls c="1">
          <tpl fld="10" item="44"/>
        </tpls>
      </query>
      <query mdx="[Rizici].[hSkupineRiziciOsiguranja].[Rizik].&amp;[17]">
        <tpls c="1">
          <tpl fld="10" item="45"/>
        </tpls>
      </query>
      <query mdx="[Rizici].[hSkupineRiziciOsiguranja].[Rizik].&amp;[115]">
        <tpls c="1">
          <tpl fld="10" item="46"/>
        </tpls>
      </query>
      <query mdx="[Rizici].[hSkupineRiziciOsiguranja].[Rizik].&amp;[22]">
        <tpls c="1">
          <tpl fld="10" item="47"/>
        </tpls>
      </query>
      <query mdx="[Rizici].[hSkupineRiziciOsiguranja].[Rizik].&amp;[53]">
        <tpls c="1">
          <tpl fld="10" item="48"/>
        </tpls>
      </query>
      <query mdx="[Rizici].[hSkupineRiziciOsiguranja].[Rizik].&amp;[73]">
        <tpls c="1">
          <tpl fld="10" item="49"/>
        </tpls>
      </query>
      <query mdx="[Rizici].[hSkupineRiziciOsiguranja].[Rizik].&amp;[28]">
        <tpls c="1">
          <tpl fld="10" item="50"/>
        </tpls>
      </query>
      <query mdx="[Rizici].[hSkupineRiziciOsiguranja].[Rizik].&amp;[15]">
        <tpls c="1">
          <tpl fld="10" item="51"/>
        </tpls>
      </query>
      <query mdx="[Rizici].[hSkupineRiziciOsiguranja].[Rizik].&amp;[80]">
        <tpls c="1">
          <tpl fld="10" item="52"/>
        </tpls>
      </query>
      <query mdx="[Rizici].[hSkupineRiziciOsiguranja].[Rizik].&amp;[29]">
        <tpls c="1">
          <tpl fld="10" item="53"/>
        </tpls>
      </query>
      <query mdx="[Rizici].[hSkupineRiziciOsiguranja].[Rizik].&amp;[100]">
        <tpls c="1">
          <tpl fld="10" item="54"/>
        </tpls>
      </query>
      <query mdx="[Rizici].[hSkupineRiziciOsiguranja].[Rizik].&amp;[35]">
        <tpls c="1">
          <tpl fld="10" item="55"/>
        </tpls>
      </query>
      <query mdx="[Rizici].[hSkupineRiziciOsiguranja].[Rizik].&amp;[81]">
        <tpls c="1">
          <tpl fld="10" item="56"/>
        </tpls>
      </query>
      <query mdx="[Vrste osiguranja].[hSkupineVrsteOsiguranja].[Skupina osiguranja].&amp;[2]">
        <tpls c="1">
          <tpl fld="11" item="0"/>
        </tpls>
      </query>
      <query mdx="[Rizici].[hSkupineRiziciOsiguranja].[Rizik].&amp;[76]">
        <tpls c="1">
          <tpl fld="10" item="57"/>
        </tpls>
      </query>
      <query mdx="[Rizici].[hSkupineRiziciOsiguranja].[Rizik].&amp;[56]">
        <tpls c="1">
          <tpl fld="10" item="58"/>
        </tpls>
      </query>
      <query mdx="[Rizici].[hSkupineRiziciOsiguranja].[Rizik].&amp;[19]">
        <tpls c="1">
          <tpl fld="10" item="59"/>
        </tpls>
      </query>
      <query mdx="[Rizici].[hSkupineRiziciOsiguranja].[Rizik].&amp;[54]">
        <tpls c="1">
          <tpl fld="10" item="60"/>
        </tpls>
      </query>
      <query mdx="[Rizici].[hSkupineRiziciOsiguranja].[Rizik].&amp;[116]">
        <tpls c="1">
          <tpl fld="10" item="61"/>
        </tpls>
      </query>
      <query mdx="[Rizici].[hSkupineRiziciOsiguranja].[Rizik].&amp;[96]">
        <tpls c="1">
          <tpl fld="10" item="62"/>
        </tpls>
      </query>
      <query mdx="[Rizici].[hSkupineRiziciOsiguranja].[Rizik].&amp;[99]">
        <tpls c="1">
          <tpl fld="10" item="63"/>
        </tpls>
      </query>
      <query mdx="[Rizici].[hSkupineRiziciOsiguranja].[Rizik].&amp;[78]">
        <tpls c="1">
          <tpl fld="10" item="64"/>
        </tpls>
      </query>
      <query mdx="[Rizici].[hSkupineRiziciOsiguranja].[Rizik].&amp;[62]">
        <tpls c="1">
          <tpl fld="10" item="65"/>
        </tpls>
      </query>
      <query mdx="[Rizici].[hSkupineRiziciOsiguranja].[Rizik].&amp;[87]">
        <tpls c="1">
          <tpl fld="10" item="66"/>
        </tpls>
      </query>
      <query mdx="[Rizici].[hSkupineRiziciOsiguranja].[Rizik].&amp;[46]">
        <tpls c="1">
          <tpl fld="10" item="67"/>
        </tpls>
      </query>
      <query mdx="[Vrste osiguranja].[hSkupineVrsteOsiguranja].[Vrsta osiguranja].&amp;[4]">
        <tpls c="1">
          <tpl fld="12" item="2"/>
        </tpls>
      </query>
      <query mdx="[Vrste osiguranja].[hSkupineVrsteOsiguranja].[Vrsta osiguranja].&amp;[5]">
        <tpls c="1">
          <tpl fld="12" item="3"/>
        </tpls>
      </query>
      <query mdx="[Rizici].[hSkupineRiziciOsiguranja].[Rizik].&amp;[61]">
        <tpls c="1">
          <tpl fld="10" item="68"/>
        </tpls>
      </query>
      <query mdx="[Rizici].[hSkupineRiziciOsiguranja].[Rizik].&amp;[111]">
        <tpls c="1">
          <tpl fld="10" item="69"/>
        </tpls>
      </query>
      <query mdx="[Rizici].[hSkupineRiziciOsiguranja].[Rizik].&amp;[91]">
        <tpls c="1">
          <tpl fld="10" item="70"/>
        </tpls>
      </query>
      <query mdx="[Rizici].[hSkupineRiziciOsiguranja].[Rizik].&amp;[21]">
        <tpls c="1">
          <tpl fld="10" item="71"/>
        </tpls>
      </query>
      <query mdx="[Rizici].[hSkupineRiziciOsiguranja].[Rizik].&amp;[40]">
        <tpls c="1">
          <tpl fld="10" item="72"/>
        </tpls>
      </query>
      <query mdx="[Rizici].[hSkupineRiziciOsiguranja].[Rizik].&amp;[4]">
        <tpls c="1">
          <tpl fld="10" item="73"/>
        </tpls>
      </query>
      <query mdx="[Rizici].[hSkupineRiziciOsiguranja].[Rizik].&amp;[36]">
        <tpls c="1">
          <tpl fld="10" item="74"/>
        </tpls>
      </query>
      <query mdx="[Rizici].[hSkupineRiziciOsiguranja].[Rizik].&amp;[108]">
        <tpls c="1">
          <tpl fld="10" item="75"/>
        </tpls>
      </query>
      <query mdx="[Vrste osiguranja].[hSkupineVrsteOsiguranja].[Vrsta osiguranja].&amp;[8]">
        <tpls c="1">
          <tpl fld="12" item="4"/>
        </tpls>
      </query>
      <query mdx="[Rizici].[hSkupineRiziciOsiguranja].[Rizik].&amp;[51]">
        <tpls c="1">
          <tpl fld="10" item="76"/>
        </tpls>
      </query>
      <query mdx="[Rizici].[hSkupineRiziciOsiguranja].[Rizik].&amp;[59]">
        <tpls c="1">
          <tpl fld="10" item="77"/>
        </tpls>
      </query>
      <query mdx="[Rizici].[hSkupineRiziciOsiguranja].[Rizik].&amp;[90]">
        <tpls c="1">
          <tpl fld="10" item="78"/>
        </tpls>
      </query>
      <query mdx="[Rizici].[hSkupineRiziciOsiguranja].[Rizik].&amp;[88]">
        <tpls c="1">
          <tpl fld="10" item="79"/>
        </tpls>
      </query>
      <query mdx="[Rizici].[hSkupineRiziciOsiguranja].[Rizik].&amp;[8]">
        <tpls c="1">
          <tpl fld="10" item="80"/>
        </tpls>
      </query>
      <query mdx="[Vrste osiguranja].[hSkupineVrsteOsiguranja].[Vrsta osiguranja].&amp;[20]">
        <tpls c="1">
          <tpl fld="12" item="5"/>
        </tpls>
      </query>
      <query mdx="[Rizici].[hSkupineRiziciOsiguranja].[Rizik].&amp;[27]">
        <tpls c="1">
          <tpl fld="10" item="81"/>
        </tpls>
      </query>
      <query mdx="[Rizici].[hSkupineRiziciOsiguranja].[Rizik].&amp;[66]">
        <tpls c="1">
          <tpl fld="10" item="82"/>
        </tpls>
      </query>
      <query mdx="[Vrste osiguranja].[hSkupineVrsteOsiguranja].[Vrsta osiguranja].&amp;[19]">
        <tpls c="1">
          <tpl fld="12" item="6"/>
        </tpls>
      </query>
      <query mdx="[Rizici].[hSkupineRiziciOsiguranja].[Rizik].&amp;[44]">
        <tpls c="1">
          <tpl fld="10" item="83"/>
        </tpls>
      </query>
      <query mdx="[Rizici].[hSkupineRiziciOsiguranja].[Rizik].&amp;[72]">
        <tpls c="1">
          <tpl fld="10" item="84"/>
        </tpls>
      </query>
      <query mdx="[Vrste osiguranja].[hSkupineVrsteOsiguranja].[Vrsta osiguranja].&amp;[13]">
        <tpls c="1">
          <tpl fld="12" item="7"/>
        </tpls>
      </query>
      <query mdx="[Rizici].[hSkupineRiziciOsiguranja].[Rizik].&amp;[82]">
        <tpls c="1">
          <tpl fld="10" item="85"/>
        </tpls>
      </query>
      <query mdx="[Rizici].[hSkupineRiziciOsiguranja].[Rizik].&amp;[113]">
        <tpls c="1">
          <tpl fld="10" item="86"/>
        </tpls>
      </query>
      <query mdx="[Rizici].[hSkupineRiziciOsiguranja].[Rizik].&amp;[74]">
        <tpls c="1">
          <tpl fld="10" item="87"/>
        </tpls>
      </query>
      <query mdx="[Rizici].[hSkupineRiziciOsiguranja].[Rizik].&amp;[84]">
        <tpls c="1">
          <tpl fld="10" item="88"/>
        </tpls>
      </query>
      <query mdx="[Rizici].[hSkupineRiziciOsiguranja].[Rizik].&amp;[112]">
        <tpls c="1">
          <tpl fld="10" item="89"/>
        </tpls>
      </query>
      <query mdx="[Rizici].[hSkupineRiziciOsiguranja].[Rizik].&amp;[10]">
        <tpls c="1">
          <tpl fld="10" item="90"/>
        </tpls>
      </query>
      <query mdx="[Vrste osiguranja].[hSkupineVrsteOsiguranja].[Vrsta osiguranja].&amp;[25]">
        <tpls c="1">
          <tpl fld="12" item="8"/>
        </tpls>
      </query>
      <query mdx="[Rizici].[hSkupineRiziciOsiguranja].[Rizik].&amp;[6]">
        <tpls c="1">
          <tpl fld="10" item="91"/>
        </tpls>
      </query>
      <query mdx="[Rizici].[hSkupineRiziciOsiguranja].[Rizik].&amp;[33]">
        <tpls c="1">
          <tpl fld="10" item="92"/>
        </tpls>
      </query>
      <query mdx="[Rizici].[hSkupineRiziciOsiguranja].[Rizik].&amp;[39]">
        <tpls c="1">
          <tpl fld="10" item="93"/>
        </tpls>
      </query>
      <query mdx="[Rizici].[hSkupineRiziciOsiguranja].[Rizik].&amp;[49]">
        <tpls c="1">
          <tpl fld="10" item="94"/>
        </tpls>
      </query>
      <query mdx="[Rizici].[hSkupineRiziciOsiguranja].[Rizik].&amp;[64]">
        <tpls c="1">
          <tpl fld="10" item="95"/>
        </tpls>
      </query>
      <query mdx="[Vrste osiguranja].[hSkupineVrsteOsiguranja].[Vrsta osiguranja].&amp;[18]">
        <tpls c="1">
          <tpl fld="12" item="9"/>
        </tpls>
      </query>
      <query mdx="[Vrste osiguranja].[hSkupineVrsteOsiguranja].[Vrsta osiguranja].&amp;[10]">
        <tpls c="1">
          <tpl fld="12" item="10"/>
        </tpls>
      </query>
      <query mdx="[Rizici].[hSkupineRiziciOsiguranja].[Rizik].&amp;[5]">
        <tpls c="1">
          <tpl fld="10" item="96"/>
        </tpls>
      </query>
      <query mdx="[Vrste osiguranja].[hSkupineVrsteOsiguranja].[Vrsta osiguranja].&amp;[21]">
        <tpls c="1">
          <tpl fld="12" item="11"/>
        </tpls>
      </query>
      <query mdx="[Rizici].[hSkupineRiziciOsiguranja].[Rizik].&amp;[68]">
        <tpls c="1">
          <tpl fld="10" item="97"/>
        </tpls>
      </query>
      <query mdx="[Rizici].[hSkupineRiziciOsiguranja].[Rizik].&amp;[43]">
        <tpls c="1">
          <tpl fld="10" item="98"/>
        </tpls>
      </query>
      <query mdx="[Vrste osiguranja].[hSkupineVrsteOsiguranja].[Vrsta osiguranja].&amp;[24]">
        <tpls c="1">
          <tpl fld="12" item="12"/>
        </tpls>
      </query>
      <query mdx="[Vrste osiguranja].[hSkupineVrsteOsiguranja].[Vrsta osiguranja].&amp;[22]">
        <tpls c="1">
          <tpl fld="12" item="13"/>
        </tpls>
      </query>
      <query mdx="[Vrste osiguranja].[hSkupineVrsteOsiguranja].[Vrsta osiguranja].&amp;[11]">
        <tpls c="1">
          <tpl fld="12" item="14"/>
        </tpls>
      </query>
      <query mdx="[Rizici].[hSkupineRiziciOsiguranja].[Rizik].&amp;[114]">
        <tpls c="1">
          <tpl fld="10" item="99"/>
        </tpls>
      </query>
      <query mdx="[Rizici].[hSkupineRiziciOsiguranja].[Rizik].&amp;[32]">
        <tpls c="1">
          <tpl fld="10" item="100"/>
        </tpls>
      </query>
      <query mdx="[Rizici].[hSkupineRiziciOsiguranja].[Rizik].&amp;[118]">
        <tpls c="1">
          <tpl fld="10" item="101"/>
        </tpls>
      </query>
      <query mdx="[Rizici].[hSkupineRiziciOsiguranja].[Rizik].&amp;[110]">
        <tpls c="1">
          <tpl fld="10" item="102"/>
        </tpls>
      </query>
      <query mdx="[Vrste osiguranja].[hSkupineVrsteOsiguranja].[Vrsta osiguranja].&amp;[9]">
        <tpls c="1">
          <tpl fld="12" item="15"/>
        </tpls>
      </query>
      <query mdx="[Rizici].[hSkupineRiziciOsiguranja].[Rizik].&amp;[75]">
        <tpls c="1">
          <tpl fld="10" item="103"/>
        </tpls>
      </query>
      <query mdx="[Vrste osiguranja].[hSkupineVrsteOsiguranja].[Vrsta osiguranja].&amp;[6]">
        <tpls c="1">
          <tpl fld="12" item="16"/>
        </tpls>
      </query>
      <query mdx="[Rizici].[hSkupineRiziciOsiguranja].[Rizik].&amp;[12]">
        <tpls c="1">
          <tpl fld="10" item="104"/>
        </tpls>
      </query>
      <query mdx="[Vrste osiguranja].[hSkupineVrsteOsiguranja].[Vrsta osiguranja].&amp;[17]">
        <tpls c="1">
          <tpl fld="12" item="17"/>
        </tpls>
      </query>
      <query mdx="[Rizici].[hSkupineRiziciOsiguranja].[Rizik].&amp;[50]">
        <tpls c="1">
          <tpl fld="10" item="105"/>
        </tpls>
      </query>
      <query mdx="[Vrste osiguranja].[hSkupineVrsteOsiguranja].[Vrsta osiguranja].&amp;[7]">
        <tpls c="1">
          <tpl fld="12" item="18"/>
        </tpls>
      </query>
      <query mdx="[Rizici].[hSkupineRiziciOsiguranja].[Rizik].&amp;[14]">
        <tpls c="1">
          <tpl fld="10" item="106"/>
        </tpls>
      </query>
      <query mdx="[Rizici].[hSkupineRiziciOsiguranja].[Rizik].&amp;[65]">
        <tpls c="1">
          <tpl fld="10" item="107"/>
        </tpls>
      </query>
      <query mdx="[Vrste osiguranja].[hSkupineVrsteOsiguranja].[Vrsta osiguranja].&amp;[1]">
        <tpls c="1">
          <tpl fld="12" item="19"/>
        </tpls>
      </query>
      <query mdx="[Rizici].[hSkupineRiziciOsiguranja].[Rizik].&amp;[98]">
        <tpls c="1">
          <tpl fld="10" item="108"/>
        </tpls>
      </query>
      <query mdx="[Rizici].[hSkupineRiziciOsiguranja].[Rizik].&amp;[94]">
        <tpls c="1">
          <tpl fld="10" item="109"/>
        </tpls>
      </query>
      <query mdx="[Vrste osiguranja].[hSkupineVrsteOsiguranja].[Vrsta osiguranja].&amp;[3]">
        <tpls c="1">
          <tpl fld="12" item="20"/>
        </tpls>
      </query>
      <query mdx="[Vrste osiguranja].[hSkupineVrsteOsiguranja].[Sve]">
        <tpls c="1">
          <tpl hier="68" item="4294967295"/>
        </tpls>
      </query>
      <query mdx="[Vrste osiguranja].[hSkupineVrsteOsiguranja].[Vrsta osiguranja].&amp;[16]">
        <tpls c="1">
          <tpl fld="12" item="21"/>
        </tpls>
      </query>
      <query mdx="[Vrste osiguranja].[hSkupineVrsteOsiguranja].[Skupina osiguranja].&amp;[1]">
        <tpls c="1">
          <tpl fld="11" item="1"/>
        </tpls>
      </query>
      <query mdx="[Rizici].[hSkupineRiziciOsiguranja].[Rizik].&amp;[67]">
        <tpls c="1">
          <tpl fld="10" item="110"/>
        </tpls>
      </query>
      <query mdx="[Rizici].[hSkupineRiziciOsiguranja].[Rizik].&amp;[18]">
        <tpls c="1">
          <tpl fld="10" item="111"/>
        </tpls>
      </query>
      <query mdx="[Vrste osiguranja].[hSkupineVrsteOsiguranja].[Vrsta osiguranja].&amp;[2]">
        <tpls c="1">
          <tpl fld="12" item="22"/>
        </tpls>
      </query>
      <query mdx="[Vrste osiguranja].[hSkupineVrsteOsiguranja].[Vrsta osiguranja].&amp;[12]">
        <tpls c="1">
          <tpl fld="12" item="23"/>
        </tpls>
      </query>
      <query mdx="[Vrste osiguranja].[hSkupineVrsteOsiguranja].[Vrsta osiguranja].&amp;[15]">
        <tpls c="1">
          <tpl fld="12" item="24"/>
        </tpls>
      </query>
    </queryCache>
    <serverFormats count="2">
      <serverFormat format="#,##0.00"/>
      <serverFormat format="#,##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queryTables/queryTable1.xml><?xml version="1.0" encoding="utf-8"?>
<queryTable xmlns="http://schemas.openxmlformats.org/spreadsheetml/2006/main" name="Query from SQL Server 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Drustvo" tableColumnId="1"/>
      <queryTableField id="2" name="NazivDrustva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I1:J17" totalsRowShown="0">
  <autoFilter ref="I1:J17"/>
  <tableColumns count="2">
    <tableColumn id="2" name="MjesecOznaka"/>
    <tableColumn id="3" name="MjesecNaziv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_Query_from_SQL_Server" displayName="Table_Query_from_SQL_Server" ref="A2:B43" tableType="queryTable" totalsRowShown="0">
  <autoFilter ref="A2:B43"/>
  <tableColumns count="2">
    <tableColumn id="1" uniqueName="1" name="IDDrustvo" queryTableFieldId="1"/>
    <tableColumn id="2" uniqueName="2" name="NazivDrustva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2"/>
  <sheetViews>
    <sheetView showGridLines="0" tabSelected="1" zoomScale="90" zoomScaleNormal="90" workbookViewId="0">
      <selection activeCell="B3" sqref="B3"/>
    </sheetView>
  </sheetViews>
  <sheetFormatPr defaultColWidth="8.69921875" defaultRowHeight="14.4" x14ac:dyDescent="0.3"/>
  <cols>
    <col min="1" max="16384" width="8.69921875" style="118"/>
  </cols>
  <sheetData>
    <row r="1" spans="1:17" ht="26.05" x14ac:dyDescent="0.55000000000000004">
      <c r="A1" s="331" t="s">
        <v>70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4.95" x14ac:dyDescent="0.2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6" spans="1:17" ht="18.3" x14ac:dyDescent="0.4">
      <c r="A6" s="334" t="s">
        <v>71</v>
      </c>
      <c r="B6" s="334"/>
      <c r="C6" s="334"/>
      <c r="D6" s="334"/>
      <c r="E6" s="334"/>
      <c r="F6" s="47"/>
      <c r="G6" s="47"/>
      <c r="H6" s="47"/>
      <c r="I6" s="47"/>
      <c r="J6" s="47"/>
      <c r="K6" s="47"/>
    </row>
    <row r="7" spans="1:17" x14ac:dyDescent="0.3">
      <c r="B7" s="119">
        <v>1</v>
      </c>
      <c r="C7" s="47"/>
      <c r="D7" s="335" t="s">
        <v>293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7" x14ac:dyDescent="0.3">
      <c r="B8" s="119">
        <v>2</v>
      </c>
      <c r="C8" s="47"/>
      <c r="D8" s="333" t="s">
        <v>294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</row>
    <row r="9" spans="1:17" x14ac:dyDescent="0.3">
      <c r="B9" s="119">
        <v>3</v>
      </c>
      <c r="C9" s="47"/>
      <c r="D9" s="333" t="s">
        <v>295</v>
      </c>
      <c r="E9" s="333"/>
      <c r="F9" s="333"/>
      <c r="G9" s="333"/>
      <c r="H9" s="333"/>
      <c r="I9" s="333"/>
      <c r="J9" s="333"/>
      <c r="K9" s="333"/>
      <c r="L9" s="47"/>
      <c r="M9" s="47"/>
      <c r="N9" s="47"/>
      <c r="O9" s="47"/>
      <c r="P9" s="47"/>
    </row>
    <row r="10" spans="1:17" x14ac:dyDescent="0.3">
      <c r="B10" s="119">
        <v>4</v>
      </c>
      <c r="C10" s="47"/>
      <c r="D10" s="333" t="s">
        <v>296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spans="1:17" x14ac:dyDescent="0.3">
      <c r="B11" s="119">
        <v>5</v>
      </c>
      <c r="C11" s="47"/>
      <c r="D11" s="333" t="s">
        <v>297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7" x14ac:dyDescent="0.3">
      <c r="B12" s="119">
        <v>6</v>
      </c>
      <c r="C12" s="47"/>
      <c r="D12" s="333" t="s">
        <v>298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</row>
    <row r="13" spans="1:17" x14ac:dyDescent="0.3">
      <c r="B13" s="119">
        <v>7</v>
      </c>
      <c r="C13" s="47"/>
      <c r="D13" s="333" t="s">
        <v>299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1:17" x14ac:dyDescent="0.3">
      <c r="B14" s="119">
        <v>8</v>
      </c>
      <c r="C14" s="47"/>
      <c r="D14" s="333" t="s">
        <v>300</v>
      </c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</row>
    <row r="15" spans="1:17" x14ac:dyDescent="0.3">
      <c r="B15" s="119">
        <v>9</v>
      </c>
      <c r="C15" s="47"/>
      <c r="D15" s="333" t="s">
        <v>301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</row>
    <row r="16" spans="1:17" x14ac:dyDescent="0.3">
      <c r="B16" s="119">
        <v>10</v>
      </c>
      <c r="C16" s="47"/>
      <c r="D16" s="333" t="s">
        <v>302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</row>
    <row r="17" spans="1:16" x14ac:dyDescent="0.3">
      <c r="B17" s="119">
        <v>11</v>
      </c>
      <c r="C17" s="47"/>
      <c r="D17" s="333" t="s">
        <v>303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</row>
    <row r="18" spans="1:16" x14ac:dyDescent="0.3">
      <c r="B18" s="119">
        <v>12</v>
      </c>
      <c r="C18" s="47"/>
      <c r="D18" s="333" t="s">
        <v>304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</row>
    <row r="19" spans="1:16" x14ac:dyDescent="0.3">
      <c r="B19" s="119">
        <v>13</v>
      </c>
      <c r="C19" s="47"/>
      <c r="D19" s="333" t="s">
        <v>305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</row>
    <row r="20" spans="1:16" x14ac:dyDescent="0.3">
      <c r="B20" s="119">
        <v>14</v>
      </c>
      <c r="C20" s="47"/>
      <c r="D20" s="333" t="s">
        <v>306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</row>
    <row r="21" spans="1:16" x14ac:dyDescent="0.3">
      <c r="B21" s="119">
        <v>15</v>
      </c>
      <c r="C21" s="47"/>
      <c r="D21" s="333" t="s">
        <v>305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</row>
    <row r="22" spans="1:16" x14ac:dyDescent="0.3">
      <c r="B22" s="119">
        <v>16</v>
      </c>
      <c r="C22" s="47"/>
      <c r="D22" s="333" t="s">
        <v>306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</row>
    <row r="23" spans="1:16" x14ac:dyDescent="0.3">
      <c r="B23" s="119">
        <v>17</v>
      </c>
      <c r="C23" s="47"/>
      <c r="D23" s="333" t="s">
        <v>307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</row>
    <row r="24" spans="1:16" x14ac:dyDescent="0.3">
      <c r="B24" s="119">
        <v>18</v>
      </c>
      <c r="C24" s="47"/>
      <c r="D24" s="333" t="s">
        <v>308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</row>
    <row r="25" spans="1:16" x14ac:dyDescent="0.3">
      <c r="B25" s="119">
        <v>19</v>
      </c>
      <c r="D25" s="333" t="s">
        <v>309</v>
      </c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</row>
    <row r="26" spans="1:16" x14ac:dyDescent="0.3">
      <c r="B26" s="119">
        <v>20</v>
      </c>
      <c r="D26" s="333" t="s">
        <v>310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</row>
    <row r="27" spans="1:16" x14ac:dyDescent="0.3">
      <c r="B27" s="119">
        <v>21</v>
      </c>
      <c r="D27" s="333" t="s">
        <v>311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</row>
    <row r="28" spans="1:16" x14ac:dyDescent="0.3">
      <c r="B28" s="119">
        <v>22</v>
      </c>
      <c r="D28" s="333" t="s">
        <v>312</v>
      </c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</row>
    <row r="32" spans="1:16" x14ac:dyDescent="0.3">
      <c r="A32" s="118" t="s">
        <v>313</v>
      </c>
    </row>
  </sheetData>
  <mergeCells count="25">
    <mergeCell ref="D24:P24"/>
    <mergeCell ref="D25:P25"/>
    <mergeCell ref="D26:P26"/>
    <mergeCell ref="D27:P27"/>
    <mergeCell ref="D28:P28"/>
    <mergeCell ref="D19:P19"/>
    <mergeCell ref="D20:P20"/>
    <mergeCell ref="D21:P21"/>
    <mergeCell ref="D22:P22"/>
    <mergeCell ref="D23:P23"/>
    <mergeCell ref="D14:P14"/>
    <mergeCell ref="D15:P15"/>
    <mergeCell ref="D16:P16"/>
    <mergeCell ref="D17:P17"/>
    <mergeCell ref="D18:P18"/>
    <mergeCell ref="D12:P12"/>
    <mergeCell ref="D13:P13"/>
    <mergeCell ref="A6:E6"/>
    <mergeCell ref="D7:P7"/>
    <mergeCell ref="D8:P8"/>
    <mergeCell ref="A1:Q1"/>
    <mergeCell ref="A2:Q2"/>
    <mergeCell ref="D9:K9"/>
    <mergeCell ref="D10:P10"/>
    <mergeCell ref="D11:P11"/>
  </mergeCells>
  <hyperlinks>
    <hyperlink ref="B7" location="'Društva-ž+n-ZBP'!A1" display="'Društva-ž+n-ZBP'!A1"/>
    <hyperlink ref="B8" location="'Društva-BROJ OSIG.'!A1" display="'Društva-BROJ OSIG.'!A1"/>
    <hyperlink ref="B9" location="'Skupni-premija-NO+ŽO-08-07'!A1" display="'Skupni-premija-NO+ŽO-08-07'!A1"/>
    <hyperlink ref="B10" location="'Skupni-br.osig.-NO+ŽO-07-08'!A1" display="'Skupni-br.osig.-NO+ŽO-07-08'!A1"/>
    <hyperlink ref="B11" location="'Skupni-br.šteta.-07-08'!A1" display="'Skupni-br.šteta.-07-08'!A1"/>
    <hyperlink ref="B12" location="'Skupni-likv.štete-kn-08-07'!A1" display="'Skupni-likv.štete-kn-08-07'!A1"/>
    <hyperlink ref="B13" location="'Skupni-premija-obvezna'!A1" display="'Skupni-premija-obvezna'!A1"/>
    <hyperlink ref="B14" location="'Skupni-štete-obvezna'!A1" display="'Skupni-štete-obvezna'!A1"/>
    <hyperlink ref="B15" location="'Skupni-premija-nezgoda i zdr.'!A1" display="'Skupni-premija-nezgoda i zdr.'!A1"/>
    <hyperlink ref="B16" location="'Skupni-štete-nezgoda i zdr.'!A1" display="'Skupni-štete-nezgoda i zdr.'!A1"/>
    <hyperlink ref="B17" location="'Skupni-premije-vrste-kasko'!A1" display="'Skupni-premije-vrste-kasko'!A1"/>
    <hyperlink ref="B18" location="'Skupni-štete-vrste-kasko'!A1" display="'Skupni-štete-vrste-kasko'!A1"/>
    <hyperlink ref="B19" location="'Skupni-premija-imovina'!A1" display="'Skupni-premija-imovina'!A1"/>
    <hyperlink ref="B20" location="'Skupni-štete-imovina'!A1" display="'Skupni-štete-imovina'!A1"/>
    <hyperlink ref="B21" location="'Skupni-premija-odgovornost'!A1" display="'Skupni-premija-odgovornost'!A1"/>
    <hyperlink ref="B22" location="'Skupni-štete-odgovornost'!A1" display="'Skupni-štete-odgovornost'!A1"/>
    <hyperlink ref="B23" location="'Skupni-premija-ostala odgov.'!A1" display="'Skupni-premija-ostala odgov.'!A1"/>
    <hyperlink ref="B24" location="'Skupni-štete-ostala odgov'!A1" display="'Skupni-štete-ostala odgov'!A1"/>
    <hyperlink ref="B25" location="'Skupni-premija-ostalo'!A1" display="'Skupni-premija-ostalo'!A1"/>
    <hyperlink ref="B26" location="'Skupni-štete-ostalo'!A1" display="'Skupni-štete-ostalo'!A1"/>
    <hyperlink ref="B27" location="'Skupni-premija-život'!A1" display="'Skupni-premija-život'!A1"/>
    <hyperlink ref="B28" location="'Skupni-štete-život'!A1" display="'Skupni-štete-život'!A1"/>
  </hyperlink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  <pageSetUpPr fitToPage="1"/>
  </sheetPr>
  <dimension ref="A1:Q24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3" width="19.296875" style="8" customWidth="1"/>
    <col min="4" max="4" width="12.59765625" style="8" bestFit="1" customWidth="1"/>
    <col min="5" max="5" width="19.296875" style="8" customWidth="1"/>
    <col min="6" max="6" width="10.59765625" style="8" bestFit="1" customWidth="1"/>
    <col min="7" max="7" width="15.69921875" style="8" bestFit="1" customWidth="1"/>
    <col min="8" max="8" width="15.296875" style="8" customWidth="1"/>
    <col min="9" max="9" width="10.59765625" style="8" bestFit="1" customWidth="1"/>
    <col min="10" max="10" width="15.296875" style="8" customWidth="1"/>
    <col min="11" max="11" width="10.59765625" style="8" bestFit="1" customWidth="1"/>
    <col min="12" max="12" width="15.69921875" style="8" bestFit="1" customWidth="1"/>
    <col min="13" max="16384" width="9.296875" style="8"/>
  </cols>
  <sheetData>
    <row r="1" spans="1:17" s="22" customFormat="1" ht="58.85" customHeight="1" x14ac:dyDescent="0.3">
      <c r="B1" s="336" t="s">
        <v>281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7" s="22" customFormat="1" ht="13.3" x14ac:dyDescent="0.3">
      <c r="A2" s="123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7" ht="36" customHeight="1" x14ac:dyDescent="0.3"/>
    <row r="4" spans="1:17" x14ac:dyDescent="0.3">
      <c r="F4" s="100"/>
    </row>
    <row r="5" spans="1:17" ht="7.5" customHeight="1" thickBot="1" x14ac:dyDescent="0.4"/>
    <row r="6" spans="1:17" s="62" customFormat="1" ht="14.95" customHeight="1" x14ac:dyDescent="0.3">
      <c r="B6" s="356" t="s">
        <v>44</v>
      </c>
      <c r="C6" s="354" t="s">
        <v>37</v>
      </c>
      <c r="D6" s="354"/>
      <c r="E6" s="354"/>
      <c r="F6" s="354"/>
      <c r="G6" s="354"/>
      <c r="H6" s="354" t="s">
        <v>41</v>
      </c>
      <c r="I6" s="354"/>
      <c r="J6" s="354"/>
      <c r="K6" s="354"/>
      <c r="L6" s="355"/>
    </row>
    <row r="7" spans="1:17" s="63" customFormat="1" ht="14.95" thickBot="1" x14ac:dyDescent="0.35">
      <c r="B7" s="357"/>
      <c r="C7" s="6" t="s">
        <v>125</v>
      </c>
      <c r="D7" s="6" t="s">
        <v>45</v>
      </c>
      <c r="E7" s="6" t="s">
        <v>126</v>
      </c>
      <c r="F7" s="6" t="s">
        <v>45</v>
      </c>
      <c r="G7" s="6" t="s">
        <v>124</v>
      </c>
      <c r="H7" s="6" t="s">
        <v>125</v>
      </c>
      <c r="I7" s="6" t="s">
        <v>45</v>
      </c>
      <c r="J7" s="6" t="s">
        <v>126</v>
      </c>
      <c r="K7" s="6" t="s">
        <v>45</v>
      </c>
      <c r="L7" s="7" t="s">
        <v>124</v>
      </c>
    </row>
    <row r="8" spans="1:17" s="64" customFormat="1" ht="4.8499999999999996" customHeight="1" x14ac:dyDescent="0.3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54" customHeight="1" x14ac:dyDescent="0.3">
      <c r="B9" s="10" t="s" vm="159">
        <v>206</v>
      </c>
      <c r="C9" s="188" vm="1032">
        <v>2260200162.9000001</v>
      </c>
      <c r="D9" s="191">
        <v>99.27</v>
      </c>
      <c r="E9" s="188" vm="1096">
        <v>1844505139.0899999</v>
      </c>
      <c r="F9" s="193">
        <v>99.09</v>
      </c>
      <c r="G9" s="198">
        <v>81.608043808092049</v>
      </c>
      <c r="H9" s="188" vm="1029">
        <v>1507429</v>
      </c>
      <c r="I9" s="193">
        <v>97.94</v>
      </c>
      <c r="J9" s="188" vm="1383">
        <v>1527786</v>
      </c>
      <c r="K9" s="191">
        <v>97.910000000000011</v>
      </c>
      <c r="L9" s="195">
        <v>101.35044502925179</v>
      </c>
    </row>
    <row r="10" spans="1:17" ht="54" customHeight="1" x14ac:dyDescent="0.3">
      <c r="B10" s="10" t="s" vm="99">
        <v>270</v>
      </c>
      <c r="C10" s="188" vm="933">
        <v>4346334.8900000015</v>
      </c>
      <c r="D10" s="191">
        <v>0.19</v>
      </c>
      <c r="E10" s="188" vm="1071">
        <v>4367940.709999999</v>
      </c>
      <c r="F10" s="193">
        <v>0.23</v>
      </c>
      <c r="G10" s="198">
        <v>100.49710435451506</v>
      </c>
      <c r="H10" s="188" vm="1192">
        <v>5615</v>
      </c>
      <c r="I10" s="193">
        <v>0.36</v>
      </c>
      <c r="J10" s="188" vm="1345">
        <v>5962</v>
      </c>
      <c r="K10" s="191">
        <v>0.38</v>
      </c>
      <c r="L10" s="195">
        <v>106.17987533392699</v>
      </c>
    </row>
    <row r="11" spans="1:17" ht="54" customHeight="1" x14ac:dyDescent="0.3">
      <c r="B11" s="10" t="s" vm="137">
        <v>211</v>
      </c>
      <c r="C11" s="188" vm="1629">
        <v>1118905.6300000001</v>
      </c>
      <c r="D11" s="191">
        <v>0.05</v>
      </c>
      <c r="E11" s="188" vm="1024">
        <v>1170090.6599999999</v>
      </c>
      <c r="F11" s="193">
        <v>0.06</v>
      </c>
      <c r="G11" s="198">
        <v>104.57456184218144</v>
      </c>
      <c r="H11" s="188" vm="1267">
        <v>157</v>
      </c>
      <c r="I11" s="193">
        <v>0.01</v>
      </c>
      <c r="J11" s="188" vm="1550">
        <v>170</v>
      </c>
      <c r="K11" s="191">
        <v>0.01</v>
      </c>
      <c r="L11" s="195">
        <v>108.28025477707006</v>
      </c>
    </row>
    <row r="12" spans="1:17" ht="54" customHeight="1" x14ac:dyDescent="0.3">
      <c r="B12" s="10" t="s" vm="111">
        <v>216</v>
      </c>
      <c r="C12" s="188" vm="799">
        <v>11215073.23</v>
      </c>
      <c r="D12" s="191">
        <v>0.49</v>
      </c>
      <c r="E12" s="188" vm="705">
        <v>11488589.050000001</v>
      </c>
      <c r="F12" s="193">
        <v>0.62</v>
      </c>
      <c r="G12" s="198">
        <v>102.43882330851264</v>
      </c>
      <c r="H12" s="188" vm="702">
        <v>25968</v>
      </c>
      <c r="I12" s="193">
        <v>1.69</v>
      </c>
      <c r="J12" s="188" vm="887">
        <v>26497</v>
      </c>
      <c r="K12" s="191">
        <v>1.7</v>
      </c>
      <c r="L12" s="195">
        <v>102.03712261244608</v>
      </c>
    </row>
    <row r="13" spans="1:17" ht="8.4499999999999993" customHeight="1" x14ac:dyDescent="0.3">
      <c r="B13" s="96"/>
      <c r="C13" s="189"/>
      <c r="D13" s="191"/>
      <c r="E13" s="189"/>
      <c r="F13" s="193"/>
      <c r="G13" s="199"/>
      <c r="H13" s="189"/>
      <c r="I13" s="193"/>
      <c r="J13" s="189"/>
      <c r="K13" s="191"/>
      <c r="L13" s="196"/>
    </row>
    <row r="14" spans="1:17" ht="27.55" customHeight="1" x14ac:dyDescent="0.3">
      <c r="B14" s="9" t="s">
        <v>46</v>
      </c>
      <c r="C14" s="190">
        <v>2276880476.6500001</v>
      </c>
      <c r="D14" s="192">
        <v>99.999999999999986</v>
      </c>
      <c r="E14" s="190">
        <v>1861531759.51</v>
      </c>
      <c r="F14" s="194">
        <v>100.00000000000001</v>
      </c>
      <c r="G14" s="200">
        <v>81.75799206855568</v>
      </c>
      <c r="H14" s="190">
        <v>1539169</v>
      </c>
      <c r="I14" s="194">
        <v>100</v>
      </c>
      <c r="J14" s="190">
        <v>1560415</v>
      </c>
      <c r="K14" s="192">
        <v>100.00000000000001</v>
      </c>
      <c r="L14" s="197">
        <v>101.38035524364122</v>
      </c>
    </row>
    <row r="15" spans="1:17" x14ac:dyDescent="0.3">
      <c r="B15" s="96"/>
      <c r="C15" s="96"/>
      <c r="D15" s="96"/>
      <c r="E15" s="96"/>
      <c r="F15" s="96"/>
      <c r="G15" s="96"/>
      <c r="H15" s="96"/>
    </row>
    <row r="16" spans="1:17" x14ac:dyDescent="0.3">
      <c r="B16" s="96"/>
      <c r="C16" s="96"/>
      <c r="D16" s="96"/>
      <c r="E16" s="96"/>
      <c r="F16" s="96"/>
      <c r="G16" s="96"/>
      <c r="H16" s="96"/>
    </row>
    <row r="17" spans="2:8" x14ac:dyDescent="0.3">
      <c r="B17" s="96"/>
      <c r="C17" s="96"/>
      <c r="D17" s="96"/>
      <c r="E17" s="96"/>
      <c r="F17" s="96"/>
      <c r="G17" s="96"/>
      <c r="H17" s="96"/>
    </row>
    <row r="18" spans="2:8" x14ac:dyDescent="0.3">
      <c r="B18" s="96"/>
      <c r="C18" s="96"/>
      <c r="D18" s="96"/>
      <c r="E18" s="96"/>
      <c r="F18" s="96"/>
      <c r="G18" s="96"/>
      <c r="H18" s="96"/>
    </row>
    <row r="19" spans="2:8" x14ac:dyDescent="0.3">
      <c r="B19" s="96"/>
      <c r="C19" s="96"/>
      <c r="D19" s="96"/>
      <c r="E19" s="96"/>
      <c r="F19" s="96"/>
      <c r="G19" s="96"/>
      <c r="H19" s="96"/>
    </row>
    <row r="20" spans="2:8" x14ac:dyDescent="0.3">
      <c r="B20" s="96"/>
      <c r="C20" s="96"/>
      <c r="D20" s="96"/>
      <c r="E20" s="96"/>
      <c r="F20" s="96"/>
      <c r="G20" s="96"/>
      <c r="H20" s="96"/>
    </row>
    <row r="21" spans="2:8" x14ac:dyDescent="0.3">
      <c r="B21" s="96"/>
      <c r="C21" s="96"/>
      <c r="D21" s="96"/>
      <c r="E21" s="96"/>
      <c r="F21" s="96"/>
      <c r="G21" s="96"/>
      <c r="H21" s="96"/>
    </row>
    <row r="22" spans="2:8" x14ac:dyDescent="0.3">
      <c r="B22" s="96"/>
      <c r="C22" s="96"/>
      <c r="D22" s="96"/>
      <c r="E22" s="96"/>
      <c r="F22" s="96"/>
      <c r="G22" s="96"/>
      <c r="H22" s="96"/>
    </row>
    <row r="23" spans="2:8" x14ac:dyDescent="0.3">
      <c r="B23" s="96"/>
      <c r="C23" s="96"/>
      <c r="D23" s="96"/>
      <c r="E23" s="96"/>
      <c r="F23" s="96"/>
      <c r="G23" s="96"/>
      <c r="H23" s="96"/>
    </row>
    <row r="24" spans="2:8" x14ac:dyDescent="0.3">
      <c r="B24" s="96"/>
      <c r="C24" s="96"/>
      <c r="D24" s="96"/>
      <c r="E24" s="96"/>
      <c r="F24" s="96"/>
      <c r="G24" s="96"/>
      <c r="H24" s="96"/>
    </row>
  </sheetData>
  <mergeCells count="4">
    <mergeCell ref="B1:L1"/>
    <mergeCell ref="H6:L6"/>
    <mergeCell ref="B6:B7"/>
    <mergeCell ref="C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  <pageSetUpPr fitToPage="1"/>
  </sheetPr>
  <dimension ref="A1:Q24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57.296875" style="8" customWidth="1"/>
    <col min="3" max="4" width="19.296875" style="8" customWidth="1"/>
    <col min="5" max="5" width="15.69921875" style="70" bestFit="1" customWidth="1"/>
    <col min="6" max="7" width="15.296875" style="8" customWidth="1"/>
    <col min="8" max="8" width="11.296875" style="8" bestFit="1" customWidth="1"/>
    <col min="9" max="16384" width="9.296875" style="8"/>
  </cols>
  <sheetData>
    <row r="1" spans="1:17" s="22" customFormat="1" ht="58.85" customHeight="1" x14ac:dyDescent="0.3">
      <c r="B1" s="358" t="s">
        <v>280</v>
      </c>
      <c r="C1" s="358"/>
      <c r="D1" s="358"/>
      <c r="E1" s="358"/>
      <c r="F1" s="358"/>
      <c r="G1" s="358"/>
      <c r="H1" s="358"/>
    </row>
    <row r="2" spans="1:17" s="22" customFormat="1" ht="13.3" x14ac:dyDescent="0.3">
      <c r="A2" s="123"/>
      <c r="B2" s="97"/>
      <c r="C2" s="97"/>
      <c r="D2" s="97"/>
      <c r="E2" s="97"/>
      <c r="F2" s="97"/>
      <c r="G2" s="97"/>
      <c r="H2" s="97"/>
    </row>
    <row r="3" spans="1:17" ht="36" customHeight="1" x14ac:dyDescent="0.3"/>
    <row r="5" spans="1:17" ht="7.5" customHeight="1" thickBot="1" x14ac:dyDescent="0.4"/>
    <row r="6" spans="1:17" s="62" customFormat="1" ht="14.95" customHeight="1" x14ac:dyDescent="0.3">
      <c r="B6" s="356" t="s">
        <v>44</v>
      </c>
      <c r="C6" s="354" t="s">
        <v>43</v>
      </c>
      <c r="D6" s="354"/>
      <c r="E6" s="354"/>
      <c r="F6" s="354" t="s">
        <v>42</v>
      </c>
      <c r="G6" s="354"/>
      <c r="H6" s="355"/>
    </row>
    <row r="7" spans="1:17" s="63" customFormat="1" ht="14.95" thickBot="1" x14ac:dyDescent="0.35">
      <c r="B7" s="357"/>
      <c r="C7" s="6" t="s">
        <v>125</v>
      </c>
      <c r="D7" s="6" t="s">
        <v>126</v>
      </c>
      <c r="E7" s="28" t="s">
        <v>124</v>
      </c>
      <c r="F7" s="6" t="s">
        <v>125</v>
      </c>
      <c r="G7" s="6" t="s">
        <v>126</v>
      </c>
      <c r="H7" s="7" t="s">
        <v>124</v>
      </c>
    </row>
    <row r="8" spans="1:17" s="64" customFormat="1" ht="8.4499999999999993" customHeight="1" x14ac:dyDescent="0.3">
      <c r="C8" s="63"/>
      <c r="D8" s="63"/>
      <c r="E8" s="65"/>
      <c r="F8" s="208"/>
      <c r="G8" s="63"/>
      <c r="H8" s="63"/>
      <c r="I8" s="63"/>
      <c r="J8" s="63"/>
      <c r="K8" s="77"/>
      <c r="L8" s="63"/>
      <c r="M8" s="63"/>
    </row>
    <row r="9" spans="1:17" s="22" customFormat="1" ht="37.549999999999997" customHeight="1" x14ac:dyDescent="0.3">
      <c r="B9" s="15" t="s" vm="159">
        <v>206</v>
      </c>
      <c r="C9" s="201" vm="1418">
        <v>773753209.13</v>
      </c>
      <c r="D9" s="201" vm="1260">
        <v>717785114.88999999</v>
      </c>
      <c r="E9" s="206">
        <v>92.76667371720113</v>
      </c>
      <c r="F9" s="201" vm="1354">
        <v>55804</v>
      </c>
      <c r="G9" s="201" vm="1529">
        <v>53144</v>
      </c>
      <c r="H9" s="209">
        <v>95.233316608128447</v>
      </c>
    </row>
    <row r="10" spans="1:17" s="22" customFormat="1" ht="37.549999999999997" customHeight="1" x14ac:dyDescent="0.3">
      <c r="B10" s="15" t="s" vm="99">
        <v>270</v>
      </c>
      <c r="C10" s="201" vm="994">
        <v>300482.42000000004</v>
      </c>
      <c r="D10" s="201" vm="881">
        <v>263548.84000000003</v>
      </c>
      <c r="E10" s="206">
        <v>87.708572102154932</v>
      </c>
      <c r="F10" s="201" vm="1289">
        <v>33</v>
      </c>
      <c r="G10" s="201" vm="869">
        <v>31</v>
      </c>
      <c r="H10" s="209">
        <v>93.939393939393938</v>
      </c>
    </row>
    <row r="11" spans="1:17" s="22" customFormat="1" ht="37.549999999999997" customHeight="1" x14ac:dyDescent="0.3">
      <c r="B11" s="15" t="s" vm="137">
        <v>211</v>
      </c>
      <c r="C11" s="201" vm="1273">
        <v>65653.319999999992</v>
      </c>
      <c r="D11" s="201" vm="1434">
        <v>-3.2684965844964609E-13</v>
      </c>
      <c r="E11" s="204" t="s">
        <v>127</v>
      </c>
      <c r="F11" s="201" vm="1538">
        <v>4</v>
      </c>
      <c r="G11" s="201" vm="1575">
        <v>0</v>
      </c>
      <c r="H11" s="209" t="s">
        <v>127</v>
      </c>
    </row>
    <row r="12" spans="1:17" s="22" customFormat="1" ht="37.549999999999997" customHeight="1" x14ac:dyDescent="0.3">
      <c r="B12" s="15" t="s" vm="111">
        <v>216</v>
      </c>
      <c r="C12" s="201" vm="803">
        <v>770924.0399999998</v>
      </c>
      <c r="D12" s="201" vm="759">
        <v>106963.23</v>
      </c>
      <c r="E12" s="206">
        <v>13.874678236781932</v>
      </c>
      <c r="F12" s="201" vm="1080">
        <v>2</v>
      </c>
      <c r="G12" s="201" vm="940">
        <v>8</v>
      </c>
      <c r="H12" s="209">
        <v>400</v>
      </c>
    </row>
    <row r="13" spans="1:17" s="64" customFormat="1" ht="3.05" customHeight="1" thickBot="1" x14ac:dyDescent="0.35">
      <c r="B13" s="78"/>
      <c r="C13" s="202"/>
      <c r="D13" s="202"/>
      <c r="E13" s="207" t="s">
        <v>127</v>
      </c>
      <c r="F13" s="202"/>
      <c r="G13" s="202"/>
      <c r="H13" s="211" t="s">
        <v>127</v>
      </c>
      <c r="I13" s="79"/>
      <c r="J13" s="79"/>
      <c r="K13" s="79"/>
      <c r="L13" s="79"/>
      <c r="M13" s="63"/>
      <c r="N13" s="63"/>
      <c r="O13" s="63"/>
      <c r="P13" s="63"/>
      <c r="Q13" s="63"/>
    </row>
    <row r="14" spans="1:17" ht="37.700000000000003" customHeight="1" thickBot="1" x14ac:dyDescent="0.35">
      <c r="B14" s="26" t="s">
        <v>46</v>
      </c>
      <c r="C14" s="203">
        <v>774890268.90999997</v>
      </c>
      <c r="D14" s="203">
        <v>718155626.96000004</v>
      </c>
      <c r="E14" s="205">
        <v>92.678364379280993</v>
      </c>
      <c r="F14" s="203">
        <v>55843</v>
      </c>
      <c r="G14" s="203">
        <v>53183</v>
      </c>
      <c r="H14" s="210">
        <v>95.236645595687904</v>
      </c>
    </row>
    <row r="15" spans="1:17" x14ac:dyDescent="0.3">
      <c r="B15" s="96"/>
      <c r="C15" s="96"/>
      <c r="D15" s="96"/>
      <c r="E15" s="81"/>
      <c r="F15" s="96"/>
    </row>
    <row r="16" spans="1:17" x14ac:dyDescent="0.3">
      <c r="B16" s="96"/>
      <c r="C16" s="96"/>
      <c r="D16" s="96"/>
      <c r="E16" s="81"/>
      <c r="F16" s="96"/>
    </row>
    <row r="17" spans="2:6" x14ac:dyDescent="0.3">
      <c r="B17" s="96"/>
      <c r="C17" s="96"/>
      <c r="D17" s="96"/>
      <c r="E17" s="81"/>
      <c r="F17" s="96"/>
    </row>
    <row r="18" spans="2:6" x14ac:dyDescent="0.3">
      <c r="B18" s="96"/>
      <c r="C18" s="96"/>
      <c r="D18" s="96"/>
      <c r="E18" s="81"/>
      <c r="F18" s="96"/>
    </row>
    <row r="19" spans="2:6" x14ac:dyDescent="0.3">
      <c r="B19" s="96"/>
      <c r="C19" s="96"/>
      <c r="D19" s="96"/>
      <c r="E19" s="81"/>
      <c r="F19" s="96"/>
    </row>
    <row r="20" spans="2:6" x14ac:dyDescent="0.3">
      <c r="B20" s="96"/>
      <c r="C20" s="96"/>
      <c r="D20" s="96"/>
      <c r="E20" s="81"/>
      <c r="F20" s="96"/>
    </row>
    <row r="21" spans="2:6" x14ac:dyDescent="0.3">
      <c r="B21" s="96"/>
      <c r="C21" s="96"/>
      <c r="D21" s="96"/>
      <c r="E21" s="81"/>
      <c r="F21" s="96"/>
    </row>
    <row r="22" spans="2:6" x14ac:dyDescent="0.3">
      <c r="B22" s="96"/>
      <c r="C22" s="96"/>
      <c r="D22" s="96"/>
      <c r="E22" s="81"/>
      <c r="F22" s="96"/>
    </row>
    <row r="23" spans="2:6" x14ac:dyDescent="0.3">
      <c r="B23" s="96"/>
      <c r="C23" s="96"/>
      <c r="D23" s="96"/>
      <c r="E23" s="81"/>
      <c r="F23" s="96"/>
    </row>
    <row r="24" spans="2:6" x14ac:dyDescent="0.3">
      <c r="B24" s="96"/>
      <c r="C24" s="96"/>
      <c r="D24" s="96"/>
      <c r="E24" s="81"/>
      <c r="F24" s="96"/>
    </row>
  </sheetData>
  <mergeCells count="4">
    <mergeCell ref="B6:B7"/>
    <mergeCell ref="C6:E6"/>
    <mergeCell ref="F6:H6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  <pageSetUpPr fitToPage="1"/>
  </sheetPr>
  <dimension ref="A1:Q37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3" width="19.296875" style="8" customWidth="1"/>
    <col min="4" max="4" width="11.59765625" style="76" customWidth="1"/>
    <col min="5" max="5" width="19.296875" style="8" customWidth="1"/>
    <col min="6" max="6" width="10.69921875" style="82" bestFit="1" customWidth="1"/>
    <col min="7" max="7" width="15.69921875" style="8" bestFit="1" customWidth="1"/>
    <col min="8" max="8" width="15.296875" style="8" customWidth="1"/>
    <col min="9" max="9" width="9.69921875" style="76" bestFit="1" customWidth="1"/>
    <col min="10" max="10" width="15.296875" style="8" customWidth="1"/>
    <col min="11" max="11" width="11.296875" style="76" bestFit="1" customWidth="1"/>
    <col min="12" max="12" width="15.69921875" style="8" bestFit="1" customWidth="1"/>
    <col min="13" max="16384" width="9.296875" style="8"/>
  </cols>
  <sheetData>
    <row r="1" spans="1:17" s="22" customFormat="1" ht="58.85" customHeight="1" x14ac:dyDescent="0.3">
      <c r="B1" s="359" t="s">
        <v>279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124"/>
    </row>
    <row r="2" spans="1:17" s="22" customFormat="1" ht="13.3" x14ac:dyDescent="0.3">
      <c r="A2" s="123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7" ht="17.45" customHeight="1" x14ac:dyDescent="0.3"/>
    <row r="4" spans="1:17" ht="7.5" customHeight="1" thickBot="1" x14ac:dyDescent="0.4"/>
    <row r="5" spans="1:17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17" s="63" customFormat="1" ht="14.95" thickBot="1" x14ac:dyDescent="0.35">
      <c r="B6" s="357"/>
      <c r="C6" s="6" t="s">
        <v>125</v>
      </c>
      <c r="D6" s="48" t="s">
        <v>45</v>
      </c>
      <c r="E6" s="6" t="s">
        <v>126</v>
      </c>
      <c r="F6" s="52" t="s">
        <v>45</v>
      </c>
      <c r="G6" s="6" t="s">
        <v>124</v>
      </c>
      <c r="H6" s="6" t="s">
        <v>125</v>
      </c>
      <c r="I6" s="48" t="s">
        <v>45</v>
      </c>
      <c r="J6" s="6" t="s">
        <v>126</v>
      </c>
      <c r="K6" s="48" t="s">
        <v>45</v>
      </c>
      <c r="L6" s="7" t="s">
        <v>124</v>
      </c>
    </row>
    <row r="7" spans="1:17" s="64" customFormat="1" ht="3.05" customHeight="1" x14ac:dyDescent="0.3">
      <c r="C7" s="63"/>
      <c r="D7" s="66"/>
      <c r="E7" s="63"/>
      <c r="F7" s="67"/>
      <c r="G7" s="63"/>
      <c r="H7" s="63"/>
      <c r="I7" s="66"/>
      <c r="J7" s="63"/>
      <c r="K7" s="66"/>
      <c r="L7" s="63"/>
      <c r="M7" s="63"/>
      <c r="N7" s="63"/>
      <c r="O7" s="63"/>
      <c r="P7" s="63"/>
      <c r="Q7" s="63"/>
    </row>
    <row r="8" spans="1:17" ht="37.549999999999997" customHeight="1" x14ac:dyDescent="0.3">
      <c r="B8" s="15" t="s" vm="148">
        <v>264</v>
      </c>
      <c r="C8" s="201" vm="904">
        <v>173275745.82999995</v>
      </c>
      <c r="D8" s="212">
        <v>48.419999999999995</v>
      </c>
      <c r="E8" s="216" vm="1719">
        <v>154886112.14000005</v>
      </c>
      <c r="F8" s="212">
        <v>45.94</v>
      </c>
      <c r="G8" s="223">
        <v>89.387069954936521</v>
      </c>
      <c r="H8" s="201" vm="1025">
        <v>143861</v>
      </c>
      <c r="I8" s="212">
        <v>7.6099999999999994</v>
      </c>
      <c r="J8" s="201" vm="1718">
        <v>136447</v>
      </c>
      <c r="K8" s="212">
        <v>7.58</v>
      </c>
      <c r="L8" s="209">
        <v>94.846414247085733</v>
      </c>
    </row>
    <row r="9" spans="1:17" ht="37.549999999999997" customHeight="1" x14ac:dyDescent="0.3">
      <c r="B9" s="15" t="s" vm="127">
        <v>265</v>
      </c>
      <c r="C9" s="201" vm="923">
        <v>125845048.02000003</v>
      </c>
      <c r="D9" s="212">
        <v>35.159999999999997</v>
      </c>
      <c r="E9" s="216" vm="1077">
        <v>124998552.03999998</v>
      </c>
      <c r="F9" s="212">
        <v>37.08</v>
      </c>
      <c r="G9" s="223">
        <v>99.327350584454052</v>
      </c>
      <c r="H9" s="201" vm="854">
        <v>1589637</v>
      </c>
      <c r="I9" s="212">
        <v>84</v>
      </c>
      <c r="J9" s="201" vm="1059">
        <v>1561478</v>
      </c>
      <c r="K9" s="212">
        <v>86.73</v>
      </c>
      <c r="L9" s="209">
        <v>98.228589294285428</v>
      </c>
    </row>
    <row r="10" spans="1:17" ht="37.549999999999997" customHeight="1" x14ac:dyDescent="0.3">
      <c r="B10" s="15" t="s" vm="100">
        <v>266</v>
      </c>
      <c r="C10" s="201" vm="1601">
        <v>4685236.4999999991</v>
      </c>
      <c r="D10" s="212">
        <v>1.31</v>
      </c>
      <c r="E10" s="216" vm="1864">
        <v>3563469.87</v>
      </c>
      <c r="F10" s="212">
        <v>1.05</v>
      </c>
      <c r="G10" s="223">
        <v>76.057417165600938</v>
      </c>
      <c r="H10" s="201" vm="1865">
        <v>3473</v>
      </c>
      <c r="I10" s="212">
        <v>0.18</v>
      </c>
      <c r="J10" s="201" vm="1543">
        <v>3534</v>
      </c>
      <c r="K10" s="212">
        <v>0.2</v>
      </c>
      <c r="L10" s="209">
        <v>101.75640656492946</v>
      </c>
    </row>
    <row r="11" spans="1:17" ht="37.549999999999997" customHeight="1" x14ac:dyDescent="0.3">
      <c r="B11" s="15" t="s" vm="171">
        <v>267</v>
      </c>
      <c r="C11" s="201" vm="1573">
        <v>7580638.8400000008</v>
      </c>
      <c r="D11" s="212">
        <v>2.12</v>
      </c>
      <c r="E11" s="216" vm="1874">
        <v>7776755.0200000014</v>
      </c>
      <c r="F11" s="212">
        <v>2.31</v>
      </c>
      <c r="G11" s="223">
        <v>102.58706665941099</v>
      </c>
      <c r="H11" s="201" vm="1534">
        <v>20125</v>
      </c>
      <c r="I11" s="212">
        <v>1.06</v>
      </c>
      <c r="J11" s="201" vm="1873">
        <v>18699</v>
      </c>
      <c r="K11" s="212">
        <v>1.04</v>
      </c>
      <c r="L11" s="209">
        <v>92.914285714285711</v>
      </c>
    </row>
    <row r="12" spans="1:17" ht="37.549999999999997" customHeight="1" x14ac:dyDescent="0.3">
      <c r="B12" s="15" t="s" vm="147">
        <v>268</v>
      </c>
      <c r="C12" s="201" vm="1839">
        <v>9197161.4400000032</v>
      </c>
      <c r="D12" s="212">
        <v>2.57</v>
      </c>
      <c r="E12" s="216" vm="1840">
        <v>12019313.32</v>
      </c>
      <c r="F12" s="212">
        <v>3.57</v>
      </c>
      <c r="G12" s="223">
        <v>130.68503144596312</v>
      </c>
      <c r="H12" s="201" vm="1841">
        <v>23918</v>
      </c>
      <c r="I12" s="212">
        <v>1.26</v>
      </c>
      <c r="J12" s="201" vm="1838">
        <v>23159</v>
      </c>
      <c r="K12" s="212">
        <v>1.29</v>
      </c>
      <c r="L12" s="209">
        <v>96.826657747303287</v>
      </c>
    </row>
    <row r="13" spans="1:17" ht="37.549999999999997" customHeight="1" x14ac:dyDescent="0.3">
      <c r="B13" s="15" t="s" vm="126">
        <v>269</v>
      </c>
      <c r="C13" s="201" vm="1559">
        <v>5367198.6500000004</v>
      </c>
      <c r="D13" s="212">
        <v>1.5</v>
      </c>
      <c r="E13" s="216" vm="1879">
        <v>6038358.9300000016</v>
      </c>
      <c r="F13" s="212">
        <v>1.79</v>
      </c>
      <c r="G13" s="223">
        <v>112.50485260127276</v>
      </c>
      <c r="H13" s="201" vm="1568">
        <v>390</v>
      </c>
      <c r="I13" s="212">
        <v>0.02</v>
      </c>
      <c r="J13" s="201" vm="1880">
        <v>375</v>
      </c>
      <c r="K13" s="212">
        <v>0.02</v>
      </c>
      <c r="L13" s="209">
        <v>96.15384615384616</v>
      </c>
    </row>
    <row r="14" spans="1:17" ht="37.549999999999997" customHeight="1" x14ac:dyDescent="0.3">
      <c r="B14" s="15" t="s" vm="99">
        <v>270</v>
      </c>
      <c r="C14" s="201" vm="933">
        <v>4346334.8900000015</v>
      </c>
      <c r="D14" s="212">
        <v>1.21</v>
      </c>
      <c r="E14" s="216" vm="1071">
        <v>4367940.709999999</v>
      </c>
      <c r="F14" s="212">
        <v>1.3</v>
      </c>
      <c r="G14" s="223">
        <v>100.49710435451506</v>
      </c>
      <c r="H14" s="201" vm="1192">
        <v>5615</v>
      </c>
      <c r="I14" s="212">
        <v>0.3</v>
      </c>
      <c r="J14" s="201" vm="1345">
        <v>5962</v>
      </c>
      <c r="K14" s="212">
        <v>0.33</v>
      </c>
      <c r="L14" s="209">
        <v>106.17987533392699</v>
      </c>
    </row>
    <row r="15" spans="1:17" ht="37.549999999999997" customHeight="1" x14ac:dyDescent="0.3">
      <c r="B15" s="15" t="s" vm="170">
        <v>271</v>
      </c>
      <c r="C15" s="201" vm="1417">
        <v>27581565.489999998</v>
      </c>
      <c r="D15" s="212">
        <v>7.71</v>
      </c>
      <c r="E15" s="216" vm="1656">
        <v>23450171.109999999</v>
      </c>
      <c r="F15" s="212">
        <v>6.96</v>
      </c>
      <c r="G15" s="223">
        <v>85.021175170430837</v>
      </c>
      <c r="H15" s="201" vm="1497">
        <v>105474</v>
      </c>
      <c r="I15" s="212">
        <v>5.57</v>
      </c>
      <c r="J15" s="201" vm="1259">
        <v>50658</v>
      </c>
      <c r="K15" s="212">
        <v>2.81</v>
      </c>
      <c r="L15" s="228">
        <v>48.028898117071506</v>
      </c>
    </row>
    <row r="16" spans="1:17" s="64" customFormat="1" ht="3.05" customHeight="1" thickBot="1" x14ac:dyDescent="0.35">
      <c r="B16" s="78"/>
      <c r="C16" s="202"/>
      <c r="D16" s="51">
        <v>0</v>
      </c>
      <c r="E16" s="215"/>
      <c r="F16" s="54"/>
      <c r="G16" s="224" t="s">
        <v>127</v>
      </c>
      <c r="H16" s="202"/>
      <c r="I16" s="49"/>
      <c r="J16" s="215"/>
      <c r="K16" s="49"/>
      <c r="L16" s="224"/>
      <c r="M16" s="63"/>
      <c r="N16" s="63"/>
      <c r="O16" s="63"/>
      <c r="P16" s="63"/>
      <c r="Q16" s="63"/>
    </row>
    <row r="17" spans="2:17" ht="37.549999999999997" customHeight="1" thickBot="1" x14ac:dyDescent="0.35">
      <c r="B17" s="25" t="s" vm="48">
        <v>272</v>
      </c>
      <c r="C17" s="214">
        <v>357878929.65999991</v>
      </c>
      <c r="D17" s="218">
        <v>99.999999999999972</v>
      </c>
      <c r="E17" s="214">
        <v>337100673.13999999</v>
      </c>
      <c r="F17" s="218">
        <v>99.999999999999986</v>
      </c>
      <c r="G17" s="225">
        <v>94.19405424629494</v>
      </c>
      <c r="H17" s="214">
        <v>1892493</v>
      </c>
      <c r="I17" s="219">
        <v>100</v>
      </c>
      <c r="J17" s="214">
        <v>1800312</v>
      </c>
      <c r="K17" s="219">
        <v>100.00000000000001</v>
      </c>
      <c r="L17" s="229">
        <v>95.129123330971368</v>
      </c>
    </row>
    <row r="18" spans="2:17" s="64" customFormat="1" ht="3.05" customHeight="1" x14ac:dyDescent="0.3">
      <c r="B18" s="78"/>
      <c r="C18" s="202"/>
      <c r="D18" s="83"/>
      <c r="E18" s="202"/>
      <c r="F18" s="54"/>
      <c r="G18" s="121"/>
      <c r="H18" s="202"/>
      <c r="I18" s="49"/>
      <c r="J18" s="215"/>
      <c r="K18" s="49"/>
      <c r="L18" s="121"/>
      <c r="M18" s="63"/>
      <c r="N18" s="63"/>
      <c r="O18" s="63"/>
      <c r="P18" s="63"/>
      <c r="Q18" s="63"/>
    </row>
    <row r="19" spans="2:17" ht="37.549999999999997" customHeight="1" x14ac:dyDescent="0.3">
      <c r="B19" s="15" t="s" vm="125">
        <v>273</v>
      </c>
      <c r="C19" s="201" vm="1247">
        <v>7005.86</v>
      </c>
      <c r="D19" s="212">
        <v>0</v>
      </c>
      <c r="E19" s="201" vm="1443">
        <v>79459.73</v>
      </c>
      <c r="F19" s="212">
        <v>0.03</v>
      </c>
      <c r="G19" s="209">
        <v>1134.189521343561</v>
      </c>
      <c r="H19" s="201" vm="1303">
        <v>1</v>
      </c>
      <c r="I19" s="125">
        <v>0</v>
      </c>
      <c r="J19" s="201" vm="703">
        <v>1</v>
      </c>
      <c r="K19" s="212">
        <v>0</v>
      </c>
      <c r="L19" s="209">
        <v>100</v>
      </c>
    </row>
    <row r="20" spans="2:17" ht="37.549999999999997" customHeight="1" x14ac:dyDescent="0.3">
      <c r="B20" s="15" t="s" vm="98">
        <v>274</v>
      </c>
      <c r="C20" s="201" vm="844">
        <v>51690860.519999996</v>
      </c>
      <c r="D20" s="212">
        <v>26.53</v>
      </c>
      <c r="E20" s="201" vm="1471">
        <v>90382198.000000015</v>
      </c>
      <c r="F20" s="212">
        <v>41.04</v>
      </c>
      <c r="G20" s="209">
        <v>174.85140910941064</v>
      </c>
      <c r="H20" s="201" vm="921">
        <v>33693</v>
      </c>
      <c r="I20" s="125">
        <v>26.83</v>
      </c>
      <c r="J20" s="201" vm="769">
        <v>46070</v>
      </c>
      <c r="K20" s="212">
        <v>36.880000000000003</v>
      </c>
      <c r="L20" s="209">
        <v>136.73463330662153</v>
      </c>
    </row>
    <row r="21" spans="2:17" ht="37.549999999999997" customHeight="1" x14ac:dyDescent="0.3">
      <c r="B21" s="15" t="s" vm="169">
        <v>275</v>
      </c>
      <c r="C21" s="201" vm="1555">
        <v>121723708.67999998</v>
      </c>
      <c r="D21" s="212">
        <v>62.45</v>
      </c>
      <c r="E21" s="201" vm="1106">
        <v>112906708.58</v>
      </c>
      <c r="F21" s="212">
        <v>51.26</v>
      </c>
      <c r="G21" s="209">
        <v>92.756546612312789</v>
      </c>
      <c r="H21" s="201" vm="1270">
        <v>88719</v>
      </c>
      <c r="I21" s="125">
        <v>70.66</v>
      </c>
      <c r="J21" s="201" vm="1606">
        <v>75899</v>
      </c>
      <c r="K21" s="212">
        <v>60.77</v>
      </c>
      <c r="L21" s="209">
        <v>85.549882212378407</v>
      </c>
    </row>
    <row r="22" spans="2:17" ht="37.549999999999997" customHeight="1" x14ac:dyDescent="0.3">
      <c r="B22" s="15" t="s" vm="146">
        <v>276</v>
      </c>
      <c r="C22" s="201" vm="1817">
        <v>0</v>
      </c>
      <c r="D22" s="212">
        <v>0</v>
      </c>
      <c r="E22" s="201" vm="1819">
        <v>0</v>
      </c>
      <c r="F22" s="212">
        <v>0</v>
      </c>
      <c r="G22" s="209" t="s">
        <v>127</v>
      </c>
      <c r="H22" s="201" vm="1527">
        <v>0</v>
      </c>
      <c r="I22" s="125">
        <v>0</v>
      </c>
      <c r="J22" s="201" vm="1818">
        <v>0</v>
      </c>
      <c r="K22" s="212">
        <v>0</v>
      </c>
      <c r="L22" s="209" t="s">
        <v>127</v>
      </c>
    </row>
    <row r="23" spans="2:17" ht="37.549999999999997" customHeight="1" x14ac:dyDescent="0.3">
      <c r="B23" s="15" t="s" vm="124">
        <v>277</v>
      </c>
      <c r="C23" s="201" vm="1233">
        <v>21481679.920000002</v>
      </c>
      <c r="D23" s="212">
        <v>11.02</v>
      </c>
      <c r="E23" s="201" vm="1343">
        <v>16887461.039999995</v>
      </c>
      <c r="F23" s="212">
        <v>7.67</v>
      </c>
      <c r="G23" s="209">
        <v>78.613316569703343</v>
      </c>
      <c r="H23" s="201" vm="1377">
        <v>3153</v>
      </c>
      <c r="I23" s="125">
        <v>2.5099999999999998</v>
      </c>
      <c r="J23" s="201" vm="1206">
        <v>2934</v>
      </c>
      <c r="K23" s="212">
        <v>2.35</v>
      </c>
      <c r="L23" s="209">
        <v>93.054234062797335</v>
      </c>
    </row>
    <row r="24" spans="2:17" s="64" customFormat="1" ht="3.05" customHeight="1" thickBot="1" x14ac:dyDescent="0.35">
      <c r="B24" s="78"/>
      <c r="C24" s="202"/>
      <c r="D24" s="212"/>
      <c r="E24" s="202"/>
      <c r="F24" s="54"/>
      <c r="G24" s="211" t="s">
        <v>127</v>
      </c>
      <c r="H24" s="202"/>
      <c r="I24" s="49"/>
      <c r="J24" s="215"/>
      <c r="K24" s="49"/>
      <c r="L24" s="211"/>
      <c r="M24" s="63"/>
      <c r="N24" s="63"/>
      <c r="O24" s="63"/>
      <c r="P24" s="63"/>
      <c r="Q24" s="63"/>
    </row>
    <row r="25" spans="2:17" ht="37.549999999999997" customHeight="1" thickBot="1" x14ac:dyDescent="0.35">
      <c r="B25" s="25" t="s" vm="45">
        <v>278</v>
      </c>
      <c r="C25" s="214">
        <v>194903254.97999996</v>
      </c>
      <c r="D25" s="219">
        <v>100</v>
      </c>
      <c r="E25" s="214">
        <v>220255827.34999999</v>
      </c>
      <c r="F25" s="219">
        <v>100</v>
      </c>
      <c r="G25" s="225">
        <v>113.00777268835331</v>
      </c>
      <c r="H25" s="214">
        <v>125566</v>
      </c>
      <c r="I25" s="219">
        <v>100</v>
      </c>
      <c r="J25" s="214">
        <v>124904</v>
      </c>
      <c r="K25" s="218">
        <v>100</v>
      </c>
      <c r="L25" s="230">
        <v>99.472787219470234</v>
      </c>
    </row>
    <row r="26" spans="2:17" s="64" customFormat="1" ht="3.05" customHeight="1" x14ac:dyDescent="0.3">
      <c r="B26" s="78"/>
      <c r="C26" s="202"/>
      <c r="D26" s="83"/>
      <c r="E26" s="79"/>
      <c r="F26" s="84"/>
      <c r="G26" s="227"/>
      <c r="H26" s="79"/>
      <c r="I26" s="83"/>
      <c r="J26" s="79"/>
      <c r="K26" s="83"/>
      <c r="L26" s="211"/>
      <c r="M26" s="63"/>
      <c r="N26" s="63"/>
      <c r="O26" s="63"/>
      <c r="P26" s="63"/>
      <c r="Q26" s="63"/>
    </row>
    <row r="27" spans="2:17" ht="23.3" customHeight="1" x14ac:dyDescent="0.3">
      <c r="B27" s="27" t="s">
        <v>61</v>
      </c>
      <c r="C27" s="217">
        <v>552782184.63999987</v>
      </c>
      <c r="D27" s="50"/>
      <c r="E27" s="221">
        <v>557356500.49000001</v>
      </c>
      <c r="F27" s="53"/>
      <c r="G27" s="226">
        <v>100.82750782805694</v>
      </c>
      <c r="H27" s="221">
        <v>2018059</v>
      </c>
      <c r="I27" s="50"/>
      <c r="J27" s="220">
        <v>1925216</v>
      </c>
      <c r="K27" s="50"/>
      <c r="L27" s="231">
        <v>95.399391197185011</v>
      </c>
    </row>
    <row r="28" spans="2:17" x14ac:dyDescent="0.3">
      <c r="B28" s="85"/>
      <c r="C28" s="85"/>
      <c r="D28" s="86"/>
      <c r="E28" s="85"/>
      <c r="F28" s="87"/>
      <c r="G28" s="85"/>
      <c r="H28" s="85"/>
      <c r="I28" s="88"/>
      <c r="J28" s="22"/>
      <c r="K28" s="88"/>
      <c r="L28" s="22"/>
    </row>
    <row r="29" spans="2:17" x14ac:dyDescent="0.3">
      <c r="B29" s="85"/>
      <c r="C29" s="85"/>
      <c r="D29" s="86"/>
      <c r="E29" s="85"/>
      <c r="F29" s="87"/>
      <c r="G29" s="85"/>
      <c r="H29" s="85"/>
      <c r="I29" s="88"/>
      <c r="J29" s="22"/>
      <c r="K29" s="88"/>
      <c r="L29" s="22"/>
    </row>
    <row r="30" spans="2:17" x14ac:dyDescent="0.3">
      <c r="B30" s="85"/>
      <c r="C30" s="85"/>
      <c r="D30" s="86"/>
      <c r="E30" s="85"/>
      <c r="F30" s="87"/>
      <c r="G30" s="85"/>
      <c r="H30" s="85"/>
      <c r="I30" s="88"/>
      <c r="J30" s="22"/>
      <c r="K30" s="88"/>
      <c r="L30" s="22"/>
    </row>
    <row r="31" spans="2:17" x14ac:dyDescent="0.3">
      <c r="B31" s="85"/>
      <c r="C31" s="85"/>
      <c r="D31" s="86"/>
      <c r="E31" s="85"/>
      <c r="F31" s="87"/>
      <c r="G31" s="85"/>
      <c r="H31" s="85"/>
      <c r="I31" s="88"/>
      <c r="J31" s="22"/>
      <c r="K31" s="88"/>
      <c r="L31" s="22"/>
    </row>
    <row r="32" spans="2:17" x14ac:dyDescent="0.3">
      <c r="B32" s="85"/>
      <c r="C32" s="85"/>
      <c r="D32" s="86"/>
      <c r="E32" s="85"/>
      <c r="F32" s="87"/>
      <c r="G32" s="85"/>
      <c r="H32" s="85"/>
      <c r="I32" s="88"/>
      <c r="J32" s="22"/>
      <c r="K32" s="88"/>
      <c r="L32" s="22"/>
    </row>
    <row r="33" spans="2:12" x14ac:dyDescent="0.3">
      <c r="B33" s="85"/>
      <c r="C33" s="85"/>
      <c r="D33" s="86"/>
      <c r="E33" s="85"/>
      <c r="F33" s="87"/>
      <c r="G33" s="85"/>
      <c r="H33" s="85"/>
      <c r="I33" s="88"/>
      <c r="J33" s="22"/>
      <c r="K33" s="88"/>
      <c r="L33" s="22"/>
    </row>
    <row r="34" spans="2:12" x14ac:dyDescent="0.3">
      <c r="B34" s="85"/>
      <c r="C34" s="85"/>
      <c r="D34" s="86"/>
      <c r="E34" s="85"/>
      <c r="F34" s="87"/>
      <c r="G34" s="85"/>
      <c r="H34" s="85"/>
      <c r="I34" s="88"/>
      <c r="J34" s="22"/>
      <c r="K34" s="88"/>
      <c r="L34" s="22"/>
    </row>
    <row r="35" spans="2:12" x14ac:dyDescent="0.3">
      <c r="B35" s="85"/>
      <c r="C35" s="85"/>
      <c r="D35" s="86"/>
      <c r="E35" s="85"/>
      <c r="F35" s="87"/>
      <c r="G35" s="85"/>
      <c r="H35" s="85"/>
      <c r="I35" s="88"/>
      <c r="J35" s="22"/>
      <c r="K35" s="88"/>
      <c r="L35" s="22"/>
    </row>
    <row r="36" spans="2:12" x14ac:dyDescent="0.3">
      <c r="B36" s="96"/>
      <c r="C36" s="96"/>
      <c r="D36" s="89"/>
      <c r="E36" s="96"/>
      <c r="F36" s="90"/>
      <c r="G36" s="96"/>
      <c r="H36" s="96"/>
    </row>
    <row r="37" spans="2:12" x14ac:dyDescent="0.3">
      <c r="B37" s="96"/>
      <c r="C37" s="96"/>
      <c r="D37" s="89"/>
      <c r="E37" s="96"/>
      <c r="F37" s="90"/>
      <c r="G37" s="96"/>
      <c r="H37" s="96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39997558519241921"/>
    <pageSetUpPr fitToPage="1"/>
  </sheetPr>
  <dimension ref="A1:Q29"/>
  <sheetViews>
    <sheetView showGridLines="0" zoomScale="102" zoomScaleNormal="102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4" width="19.296875" style="8" customWidth="1"/>
    <col min="5" max="5" width="15.69921875" style="70" bestFit="1" customWidth="1"/>
    <col min="6" max="7" width="15.296875" style="8" customWidth="1"/>
    <col min="8" max="8" width="15.69921875" style="70" bestFit="1" customWidth="1"/>
    <col min="9" max="16384" width="9.296875" style="8"/>
  </cols>
  <sheetData>
    <row r="1" spans="1:17" s="22" customFormat="1" ht="58.85" customHeight="1" x14ac:dyDescent="0.3">
      <c r="B1" s="359" t="s">
        <v>263</v>
      </c>
      <c r="C1" s="359"/>
      <c r="D1" s="359"/>
      <c r="E1" s="359"/>
      <c r="F1" s="359"/>
      <c r="G1" s="359"/>
      <c r="H1" s="359"/>
      <c r="I1" s="124"/>
    </row>
    <row r="2" spans="1:17" s="22" customFormat="1" ht="13.3" x14ac:dyDescent="0.3">
      <c r="A2" s="123"/>
      <c r="B2" s="337"/>
      <c r="C2" s="337"/>
      <c r="D2" s="337"/>
      <c r="E2" s="337"/>
      <c r="F2" s="337"/>
      <c r="G2" s="337"/>
      <c r="H2" s="337"/>
    </row>
    <row r="3" spans="1:17" ht="21.75" customHeight="1" x14ac:dyDescent="0.3"/>
    <row r="4" spans="1:17" ht="7.5" customHeight="1" thickBot="1" x14ac:dyDescent="0.4"/>
    <row r="5" spans="1:17" s="62" customFormat="1" ht="14.95" customHeight="1" x14ac:dyDescent="0.3">
      <c r="B5" s="356" t="s">
        <v>44</v>
      </c>
      <c r="C5" s="354" t="s">
        <v>43</v>
      </c>
      <c r="D5" s="354"/>
      <c r="E5" s="354"/>
      <c r="F5" s="354" t="s">
        <v>42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8.4499999999999993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37.549999999999997" customHeight="1" x14ac:dyDescent="0.3">
      <c r="B8" s="15" t="s" vm="148">
        <v>264</v>
      </c>
      <c r="C8" s="233" vm="733">
        <v>66031773.800000027</v>
      </c>
      <c r="D8" s="232" vm="1635">
        <v>60155657.030000001</v>
      </c>
      <c r="E8" s="206">
        <v>91.101076903071132</v>
      </c>
      <c r="F8" s="233" vm="745">
        <v>6069</v>
      </c>
      <c r="G8" s="232" vm="1960">
        <v>5314</v>
      </c>
      <c r="H8" s="206">
        <v>87.559729774262649</v>
      </c>
    </row>
    <row r="9" spans="1:17" s="22" customFormat="1" ht="37.549999999999997" customHeight="1" x14ac:dyDescent="0.3">
      <c r="B9" s="15" t="s" vm="127">
        <v>265</v>
      </c>
      <c r="C9" s="233" vm="1305">
        <v>10469770.579999998</v>
      </c>
      <c r="D9" s="232" vm="1947">
        <v>10763367.569999998</v>
      </c>
      <c r="E9" s="206">
        <v>102.80423518124502</v>
      </c>
      <c r="F9" s="233" vm="1001">
        <v>659</v>
      </c>
      <c r="G9" s="232" vm="1047">
        <v>627</v>
      </c>
      <c r="H9" s="206">
        <v>95.144157814871022</v>
      </c>
    </row>
    <row r="10" spans="1:17" s="22" customFormat="1" ht="37.549999999999997" customHeight="1" x14ac:dyDescent="0.3">
      <c r="B10" s="15" t="s" vm="100">
        <v>266</v>
      </c>
      <c r="C10" s="233" vm="1353">
        <v>8121684.299999998</v>
      </c>
      <c r="D10" s="232" vm="1253">
        <v>8470320.4199999999</v>
      </c>
      <c r="E10" s="206">
        <v>104.29265786654625</v>
      </c>
      <c r="F10" s="233" vm="1411">
        <v>5370</v>
      </c>
      <c r="G10" s="232" vm="1304">
        <v>5988</v>
      </c>
      <c r="H10" s="206">
        <v>111.50837988826817</v>
      </c>
    </row>
    <row r="11" spans="1:17" s="22" customFormat="1" ht="37.549999999999997" customHeight="1" x14ac:dyDescent="0.3">
      <c r="B11" s="15" t="s" vm="171">
        <v>267</v>
      </c>
      <c r="C11" s="233" vm="1658">
        <v>315649.59999999998</v>
      </c>
      <c r="D11" s="232" vm="1908">
        <v>218732.47000000003</v>
      </c>
      <c r="E11" s="206">
        <v>69.295975664154184</v>
      </c>
      <c r="F11" s="233" vm="1907">
        <v>60</v>
      </c>
      <c r="G11" s="232" vm="1906">
        <v>34</v>
      </c>
      <c r="H11" s="206">
        <v>56.666666666666664</v>
      </c>
    </row>
    <row r="12" spans="1:17" s="22" customFormat="1" ht="37.549999999999997" customHeight="1" x14ac:dyDescent="0.3">
      <c r="B12" s="15" t="s" vm="147">
        <v>268</v>
      </c>
      <c r="C12" s="233" vm="1929">
        <v>1400896.1299999997</v>
      </c>
      <c r="D12" s="232" vm="1330">
        <v>1499445.7999999998</v>
      </c>
      <c r="E12" s="206">
        <v>107.03475924371352</v>
      </c>
      <c r="F12" s="233" vm="1545">
        <v>348</v>
      </c>
      <c r="G12" s="232" vm="974">
        <v>424</v>
      </c>
      <c r="H12" s="206">
        <v>121.83908045977012</v>
      </c>
    </row>
    <row r="13" spans="1:17" s="22" customFormat="1" ht="37.549999999999997" customHeight="1" x14ac:dyDescent="0.3">
      <c r="B13" s="15" t="s" vm="126">
        <v>269</v>
      </c>
      <c r="C13" s="233" vm="1647">
        <v>308473.91000000003</v>
      </c>
      <c r="D13" s="232" vm="1686">
        <v>949977.55999999971</v>
      </c>
      <c r="E13" s="206">
        <v>307.96042362221152</v>
      </c>
      <c r="F13" s="233" vm="1179">
        <v>28</v>
      </c>
      <c r="G13" s="232" vm="1317">
        <v>26</v>
      </c>
      <c r="H13" s="206">
        <v>92.857142857142861</v>
      </c>
    </row>
    <row r="14" spans="1:17" s="22" customFormat="1" ht="37.549999999999997" customHeight="1" x14ac:dyDescent="0.3">
      <c r="B14" s="15" t="s" vm="99">
        <v>270</v>
      </c>
      <c r="C14" s="233" vm="994">
        <v>300482.42000000004</v>
      </c>
      <c r="D14" s="232" vm="881">
        <v>263548.84000000003</v>
      </c>
      <c r="E14" s="206">
        <v>87.708572102154932</v>
      </c>
      <c r="F14" s="233" vm="1289">
        <v>33</v>
      </c>
      <c r="G14" s="232" vm="869">
        <v>31</v>
      </c>
      <c r="H14" s="206">
        <v>93.939393939393938</v>
      </c>
    </row>
    <row r="15" spans="1:17" s="22" customFormat="1" ht="37.549999999999997" customHeight="1" x14ac:dyDescent="0.3">
      <c r="B15" s="15" t="s" vm="170">
        <v>271</v>
      </c>
      <c r="C15" s="233" vm="1716">
        <v>2628917.4200000004</v>
      </c>
      <c r="D15" s="232" vm="897">
        <v>2355297.6300000004</v>
      </c>
      <c r="E15" s="206">
        <v>89.591921453356264</v>
      </c>
      <c r="F15" s="233" vm="1717">
        <v>147</v>
      </c>
      <c r="G15" s="232" vm="1654">
        <v>131</v>
      </c>
      <c r="H15" s="206">
        <v>89.115646258503403</v>
      </c>
    </row>
    <row r="16" spans="1:17" s="64" customFormat="1" ht="3.05" customHeight="1" thickBot="1" x14ac:dyDescent="0.35">
      <c r="B16" s="78"/>
      <c r="C16" s="79"/>
      <c r="D16" s="79"/>
      <c r="E16" s="207"/>
      <c r="F16" s="79"/>
      <c r="G16" s="79"/>
      <c r="H16" s="207"/>
      <c r="I16" s="79"/>
      <c r="J16" s="79"/>
      <c r="K16" s="79"/>
      <c r="L16" s="79"/>
      <c r="M16" s="63"/>
      <c r="N16" s="63"/>
      <c r="O16" s="63"/>
      <c r="P16" s="63"/>
      <c r="Q16" s="63"/>
    </row>
    <row r="17" spans="2:17" ht="37.549999999999997" customHeight="1" thickBot="1" x14ac:dyDescent="0.35">
      <c r="B17" s="120" t="s" vm="48">
        <v>272</v>
      </c>
      <c r="C17" s="235">
        <v>89577648.160000011</v>
      </c>
      <c r="D17" s="235">
        <v>84676347.319999993</v>
      </c>
      <c r="E17" s="237">
        <v>94.528433218914714</v>
      </c>
      <c r="F17" s="235">
        <v>12714</v>
      </c>
      <c r="G17" s="235">
        <v>12575</v>
      </c>
      <c r="H17" s="244">
        <v>98.906717004876512</v>
      </c>
    </row>
    <row r="18" spans="2:17" s="64" customFormat="1" ht="3.05" customHeight="1" x14ac:dyDescent="0.3">
      <c r="B18" s="78"/>
      <c r="C18" s="79"/>
      <c r="D18" s="79"/>
      <c r="E18" s="80"/>
      <c r="F18" s="79"/>
      <c r="G18" s="79"/>
      <c r="H18" s="80"/>
      <c r="I18" s="79"/>
      <c r="J18" s="79"/>
      <c r="K18" s="79"/>
      <c r="L18" s="79"/>
      <c r="M18" s="63"/>
      <c r="N18" s="63"/>
      <c r="O18" s="63"/>
      <c r="P18" s="63"/>
      <c r="Q18" s="63"/>
    </row>
    <row r="19" spans="2:17" ht="37.549999999999997" customHeight="1" x14ac:dyDescent="0.3">
      <c r="B19" s="15" t="s" vm="125">
        <v>273</v>
      </c>
      <c r="C19" s="232" vm="942">
        <v>438132.20999999996</v>
      </c>
      <c r="D19" s="233" vm="822">
        <v>365174.16</v>
      </c>
      <c r="E19" s="241">
        <v>83.347937372602672</v>
      </c>
      <c r="F19" s="233" vm="1213">
        <v>99</v>
      </c>
      <c r="G19" s="201" vm="699">
        <v>5</v>
      </c>
      <c r="H19" s="204">
        <v>5.0505050505050502</v>
      </c>
    </row>
    <row r="20" spans="2:17" ht="37.549999999999997" customHeight="1" x14ac:dyDescent="0.3">
      <c r="B20" s="15" t="s" vm="98">
        <v>274</v>
      </c>
      <c r="C20" s="232" vm="772">
        <v>9517011.2699999996</v>
      </c>
      <c r="D20" s="233" vm="1486">
        <v>28019952.110000007</v>
      </c>
      <c r="E20" s="206">
        <v>294.41965880954564</v>
      </c>
      <c r="F20" s="233" vm="760">
        <v>86255</v>
      </c>
      <c r="G20" s="201" vm="893">
        <v>521831</v>
      </c>
      <c r="H20" s="204">
        <v>604.9863776012985</v>
      </c>
    </row>
    <row r="21" spans="2:17" ht="37.549999999999997" customHeight="1" x14ac:dyDescent="0.3">
      <c r="B21" s="15" t="s" vm="169">
        <v>275</v>
      </c>
      <c r="C21" s="232" vm="1095">
        <v>89285656.98999998</v>
      </c>
      <c r="D21" s="233" vm="1297">
        <v>68206815.13000001</v>
      </c>
      <c r="E21" s="206">
        <v>76.391681967059043</v>
      </c>
      <c r="F21" s="233" vm="765">
        <v>152735</v>
      </c>
      <c r="G21" s="201" vm="1348">
        <v>124944</v>
      </c>
      <c r="H21" s="204">
        <v>81.804432513831145</v>
      </c>
    </row>
    <row r="22" spans="2:17" s="22" customFormat="1" ht="37.549999999999997" customHeight="1" x14ac:dyDescent="0.3">
      <c r="B22" s="15" t="s" vm="146">
        <v>276</v>
      </c>
      <c r="C22" s="232" vm="817">
        <v>0</v>
      </c>
      <c r="D22" s="233" vm="1402">
        <v>0</v>
      </c>
      <c r="E22" s="204" t="s">
        <v>127</v>
      </c>
      <c r="F22" s="233" vm="1052">
        <v>0</v>
      </c>
      <c r="G22" s="201" vm="934">
        <v>0</v>
      </c>
      <c r="H22" s="204" t="s">
        <v>127</v>
      </c>
    </row>
    <row r="23" spans="2:17" s="22" customFormat="1" ht="37.549999999999997" customHeight="1" x14ac:dyDescent="0.3">
      <c r="B23" s="15" t="s" vm="124">
        <v>277</v>
      </c>
      <c r="C23" s="232" vm="1783">
        <v>16793601.25</v>
      </c>
      <c r="D23" s="233" vm="1781">
        <v>16445619.280000005</v>
      </c>
      <c r="E23" s="206">
        <v>97.927889528757291</v>
      </c>
      <c r="F23" s="233" vm="1784">
        <v>7085</v>
      </c>
      <c r="G23" s="201" vm="1782">
        <v>6158</v>
      </c>
      <c r="H23" s="204">
        <v>86.916019760056457</v>
      </c>
    </row>
    <row r="24" spans="2:17" s="64" customFormat="1" ht="3.05" customHeight="1" thickBot="1" x14ac:dyDescent="0.35">
      <c r="B24" s="78"/>
      <c r="C24" s="79"/>
      <c r="D24" s="79"/>
      <c r="E24" s="207" t="s">
        <v>127</v>
      </c>
      <c r="F24" s="79"/>
      <c r="G24" s="202"/>
      <c r="H24" s="245"/>
      <c r="I24" s="79"/>
      <c r="J24" s="79"/>
      <c r="K24" s="79"/>
      <c r="L24" s="79"/>
      <c r="M24" s="63"/>
      <c r="N24" s="63"/>
      <c r="O24" s="63"/>
      <c r="P24" s="63"/>
      <c r="Q24" s="63"/>
    </row>
    <row r="25" spans="2:17" ht="37.549999999999997" customHeight="1" thickBot="1" x14ac:dyDescent="0.35">
      <c r="B25" s="120" t="s" vm="45">
        <v>278</v>
      </c>
      <c r="C25" s="234">
        <v>116034401.71999998</v>
      </c>
      <c r="D25" s="235">
        <v>113037560.68000002</v>
      </c>
      <c r="E25" s="238">
        <v>97.417282292512212</v>
      </c>
      <c r="F25" s="235">
        <v>246174</v>
      </c>
      <c r="G25" s="248">
        <v>652938</v>
      </c>
      <c r="H25" s="243">
        <v>265.23434643788539</v>
      </c>
    </row>
    <row r="26" spans="2:17" s="64" customFormat="1" ht="3.05" customHeight="1" x14ac:dyDescent="0.3">
      <c r="B26" s="78"/>
      <c r="C26" s="79"/>
      <c r="D26" s="79"/>
      <c r="E26" s="239"/>
      <c r="F26" s="79"/>
      <c r="G26" s="202"/>
      <c r="H26" s="245"/>
      <c r="I26" s="79"/>
      <c r="J26" s="79"/>
      <c r="K26" s="79"/>
      <c r="L26" s="79"/>
      <c r="M26" s="63"/>
      <c r="N26" s="63"/>
      <c r="O26" s="63"/>
      <c r="P26" s="63"/>
      <c r="Q26" s="63"/>
    </row>
    <row r="27" spans="2:17" ht="23.3" customHeight="1" x14ac:dyDescent="0.3">
      <c r="B27" s="19" t="s">
        <v>61</v>
      </c>
      <c r="C27" s="236">
        <v>205612049.88</v>
      </c>
      <c r="D27" s="236">
        <v>197713908</v>
      </c>
      <c r="E27" s="240">
        <v>96.158716434854114</v>
      </c>
      <c r="F27" s="242">
        <v>258888</v>
      </c>
      <c r="G27" s="261">
        <v>665513</v>
      </c>
      <c r="H27" s="246">
        <v>257.06598992614568</v>
      </c>
    </row>
    <row r="28" spans="2:17" x14ac:dyDescent="0.3">
      <c r="B28" s="85"/>
      <c r="C28" s="85"/>
      <c r="D28" s="85"/>
      <c r="E28" s="91"/>
      <c r="F28" s="85"/>
      <c r="G28" s="85"/>
      <c r="H28" s="91"/>
      <c r="I28" s="22"/>
      <c r="J28" s="22"/>
      <c r="K28" s="22"/>
      <c r="L28" s="22"/>
    </row>
    <row r="29" spans="2:17" x14ac:dyDescent="0.3">
      <c r="B29" s="85"/>
      <c r="C29" s="85"/>
      <c r="D29" s="85"/>
      <c r="E29" s="91"/>
      <c r="F29" s="85"/>
      <c r="G29" s="85"/>
      <c r="H29" s="91"/>
      <c r="I29" s="22"/>
      <c r="J29" s="22"/>
      <c r="K29" s="22"/>
      <c r="L29" s="22"/>
    </row>
  </sheetData>
  <mergeCells count="5">
    <mergeCell ref="B5:B6"/>
    <mergeCell ref="C5:E5"/>
    <mergeCell ref="F5:H5"/>
    <mergeCell ref="B1:H1"/>
    <mergeCell ref="B2:H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  <pageSetUpPr fitToPage="1"/>
  </sheetPr>
  <dimension ref="A1:U34"/>
  <sheetViews>
    <sheetView showGridLines="0" zoomScale="98" zoomScaleNormal="98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3984375" style="8" bestFit="1" customWidth="1"/>
    <col min="4" max="4" width="9.796875" style="8" bestFit="1" customWidth="1"/>
    <col min="5" max="5" width="16.796875" style="8" bestFit="1" customWidth="1"/>
    <col min="6" max="6" width="9.796875" style="8" bestFit="1" customWidth="1"/>
    <col min="7" max="7" width="11.69921875" style="70" bestFit="1" customWidth="1"/>
    <col min="8" max="8" width="13.69921875" style="8" bestFit="1" customWidth="1"/>
    <col min="9" max="9" width="9.796875" style="8" bestFit="1" customWidth="1"/>
    <col min="10" max="10" width="13.69921875" style="8" bestFit="1" customWidth="1"/>
    <col min="11" max="11" width="9.796875" style="8" bestFit="1" customWidth="1"/>
    <col min="12" max="12" width="11.59765625" style="70" customWidth="1"/>
    <col min="13" max="16384" width="9.296875" style="8"/>
  </cols>
  <sheetData>
    <row r="1" spans="1:21" s="22" customFormat="1" ht="58.85" customHeight="1" x14ac:dyDescent="0.3">
      <c r="B1" s="360" t="s">
        <v>262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122"/>
    </row>
    <row r="2" spans="1:21" s="22" customFormat="1" ht="13.3" x14ac:dyDescent="0.3">
      <c r="A2" s="123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21" ht="21.75" customHeight="1" x14ac:dyDescent="0.3"/>
    <row r="4" spans="1:21" ht="7.5" customHeight="1" thickBot="1" x14ac:dyDescent="0.4"/>
    <row r="5" spans="1:21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21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21" s="64" customFormat="1" ht="8.4499999999999993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21" s="22" customFormat="1" ht="37.549999999999997" customHeight="1" x14ac:dyDescent="0.3">
      <c r="B8" s="15" t="s" vm="168">
        <v>246</v>
      </c>
      <c r="C8" s="201" vm="978">
        <v>489830366.05000001</v>
      </c>
      <c r="D8" s="212">
        <v>95.53</v>
      </c>
      <c r="E8" s="232" vm="1057">
        <v>460720080.89999998</v>
      </c>
      <c r="F8" s="212">
        <v>93.64</v>
      </c>
      <c r="G8" s="266">
        <v>94.057068085683255</v>
      </c>
      <c r="H8" s="271" vm="1235">
        <v>210720</v>
      </c>
      <c r="I8" s="212">
        <v>76.5</v>
      </c>
      <c r="J8" s="232" vm="821">
        <v>209100</v>
      </c>
      <c r="K8" s="212">
        <v>64.89</v>
      </c>
      <c r="L8" s="206">
        <v>99.231207289293849</v>
      </c>
    </row>
    <row r="9" spans="1:21" s="22" customFormat="1" ht="37.549999999999997" customHeight="1" x14ac:dyDescent="0.3">
      <c r="B9" s="15" t="s" vm="145">
        <v>247</v>
      </c>
      <c r="C9" s="201" vm="1216">
        <v>3680538.8</v>
      </c>
      <c r="D9" s="212">
        <v>0.72</v>
      </c>
      <c r="E9" s="232" vm="1953">
        <v>3538499.7800000003</v>
      </c>
      <c r="F9" s="212">
        <v>0.72</v>
      </c>
      <c r="G9" s="266">
        <v>96.140809057630378</v>
      </c>
      <c r="H9" s="271" vm="1232">
        <v>3097</v>
      </c>
      <c r="I9" s="212">
        <v>1.1200000000000001</v>
      </c>
      <c r="J9" s="232" vm="936">
        <v>3056</v>
      </c>
      <c r="K9" s="212">
        <v>0.95</v>
      </c>
      <c r="L9" s="206">
        <v>98.676138198256382</v>
      </c>
    </row>
    <row r="10" spans="1:21" s="22" customFormat="1" ht="35.450000000000003" customHeight="1" x14ac:dyDescent="0.3">
      <c r="B10" s="15" t="s" vm="123">
        <v>248</v>
      </c>
      <c r="C10" s="201" vm="1895">
        <v>19241498.000000004</v>
      </c>
      <c r="D10" s="212">
        <v>3.75</v>
      </c>
      <c r="E10" s="232" vm="1894">
        <v>27734131.569999997</v>
      </c>
      <c r="F10" s="212">
        <v>5.64</v>
      </c>
      <c r="G10" s="266">
        <v>144.1370706688221</v>
      </c>
      <c r="H10" s="271" vm="1618">
        <v>61637</v>
      </c>
      <c r="I10" s="212">
        <v>22.38</v>
      </c>
      <c r="J10" s="232" vm="1896">
        <v>110121</v>
      </c>
      <c r="K10" s="212">
        <v>34.17</v>
      </c>
      <c r="L10" s="206">
        <v>178.66054480263477</v>
      </c>
    </row>
    <row r="11" spans="1:21" s="64" customFormat="1" ht="4.8499999999999996" customHeight="1" thickBot="1" x14ac:dyDescent="0.35">
      <c r="B11" s="78"/>
      <c r="C11" s="202"/>
      <c r="D11" s="79"/>
      <c r="E11" s="79"/>
      <c r="F11" s="79"/>
      <c r="G11" s="265"/>
      <c r="H11" s="79"/>
      <c r="I11" s="79"/>
      <c r="J11" s="79"/>
      <c r="K11" s="79"/>
      <c r="L11" s="284"/>
      <c r="M11" s="79"/>
      <c r="N11" s="79"/>
      <c r="O11" s="79"/>
      <c r="P11" s="79"/>
      <c r="Q11" s="63"/>
      <c r="R11" s="63"/>
      <c r="S11" s="63"/>
      <c r="T11" s="63"/>
      <c r="U11" s="63"/>
    </row>
    <row r="12" spans="1:21" ht="37.549999999999997" customHeight="1" thickBot="1" x14ac:dyDescent="0.35">
      <c r="B12" s="120" t="s" vm="36">
        <v>249</v>
      </c>
      <c r="C12" s="248">
        <v>512752402.85000002</v>
      </c>
      <c r="D12" s="254">
        <v>100</v>
      </c>
      <c r="E12" s="235">
        <v>491992712.24999994</v>
      </c>
      <c r="F12" s="253">
        <v>100</v>
      </c>
      <c r="G12" s="288">
        <v>95.951322610169584</v>
      </c>
      <c r="H12" s="272">
        <v>275454</v>
      </c>
      <c r="I12" s="254">
        <v>100</v>
      </c>
      <c r="J12" s="235">
        <v>322277</v>
      </c>
      <c r="K12" s="254">
        <v>100.01</v>
      </c>
      <c r="L12" s="244">
        <v>116.99848250524589</v>
      </c>
    </row>
    <row r="13" spans="1:21" s="64" customFormat="1" ht="3.05" customHeight="1" x14ac:dyDescent="0.3">
      <c r="B13" s="78"/>
      <c r="C13" s="79"/>
      <c r="D13" s="79"/>
      <c r="E13" s="79"/>
      <c r="F13" s="79"/>
      <c r="G13" s="267"/>
      <c r="H13" s="79"/>
      <c r="I13" s="79"/>
      <c r="J13" s="79"/>
      <c r="K13" s="79"/>
      <c r="L13" s="285"/>
      <c r="M13" s="79"/>
      <c r="N13" s="79"/>
      <c r="O13" s="79"/>
      <c r="P13" s="79"/>
      <c r="Q13" s="63"/>
      <c r="R13" s="63"/>
      <c r="S13" s="63"/>
      <c r="T13" s="63"/>
      <c r="U13" s="63"/>
    </row>
    <row r="14" spans="1:21" ht="37.549999999999997" customHeight="1" x14ac:dyDescent="0.3">
      <c r="B14" s="15" t="s" vm="167">
        <v>250</v>
      </c>
      <c r="C14" s="233" vm="1308">
        <v>3986603.27</v>
      </c>
      <c r="D14" s="212">
        <v>100</v>
      </c>
      <c r="E14" s="232" vm="995">
        <v>3770538.7900000005</v>
      </c>
      <c r="F14" s="212">
        <v>100</v>
      </c>
      <c r="G14" s="266">
        <v>94.580236222000607</v>
      </c>
      <c r="H14" s="271" vm="730">
        <v>115</v>
      </c>
      <c r="I14" s="212">
        <v>100</v>
      </c>
      <c r="J14" s="232" vm="1391">
        <v>114</v>
      </c>
      <c r="K14" s="212">
        <v>100</v>
      </c>
      <c r="L14" s="206">
        <v>99.130434782608702</v>
      </c>
    </row>
    <row r="15" spans="1:21" ht="3.05" customHeight="1" thickBot="1" x14ac:dyDescent="0.35">
      <c r="B15" s="32"/>
      <c r="C15" s="33"/>
      <c r="D15" s="259"/>
      <c r="E15" s="34"/>
      <c r="F15" s="34"/>
      <c r="G15" s="265"/>
      <c r="H15" s="43"/>
      <c r="I15" s="34"/>
      <c r="J15" s="35"/>
      <c r="K15" s="34"/>
      <c r="L15" s="206"/>
    </row>
    <row r="16" spans="1:21" ht="37.549999999999997" customHeight="1" thickBot="1" x14ac:dyDescent="0.35">
      <c r="B16" s="120" t="s" vm="51">
        <v>251</v>
      </c>
      <c r="C16" s="247">
        <v>3986603.27</v>
      </c>
      <c r="D16" s="254">
        <v>100</v>
      </c>
      <c r="E16" s="234">
        <v>3770538.7900000005</v>
      </c>
      <c r="F16" s="255">
        <v>100</v>
      </c>
      <c r="G16" s="288">
        <v>94.580236222000607</v>
      </c>
      <c r="H16" s="272">
        <v>115</v>
      </c>
      <c r="I16" s="254">
        <v>100</v>
      </c>
      <c r="J16" s="235">
        <v>114</v>
      </c>
      <c r="K16" s="274">
        <v>100</v>
      </c>
      <c r="L16" s="244">
        <v>99.130434782608702</v>
      </c>
    </row>
    <row r="17" spans="2:21" ht="4.8499999999999996" customHeight="1" x14ac:dyDescent="0.3">
      <c r="B17" s="37"/>
      <c r="C17" s="249"/>
      <c r="D17" s="38"/>
      <c r="E17" s="38"/>
      <c r="F17" s="256"/>
      <c r="G17" s="267"/>
      <c r="H17" s="92"/>
      <c r="I17" s="38"/>
      <c r="J17" s="92"/>
      <c r="K17" s="275"/>
      <c r="L17" s="206"/>
    </row>
    <row r="18" spans="2:21" ht="41.95" customHeight="1" x14ac:dyDescent="0.3">
      <c r="B18" s="15" t="s" vm="122">
        <v>252</v>
      </c>
      <c r="C18" s="201" vm="1167">
        <v>7442770.4800000004</v>
      </c>
      <c r="D18" s="212">
        <v>99.9</v>
      </c>
      <c r="E18" s="233" vm="1344">
        <v>6081087.2499999991</v>
      </c>
      <c r="F18" s="213">
        <v>100</v>
      </c>
      <c r="G18" s="266">
        <v>81.704618815546198</v>
      </c>
      <c r="H18" s="271" vm="951">
        <v>97</v>
      </c>
      <c r="I18" s="212">
        <v>96.04</v>
      </c>
      <c r="J18" s="273" vm="1005">
        <v>117</v>
      </c>
      <c r="K18" s="276">
        <v>100</v>
      </c>
      <c r="L18" s="206">
        <v>120.61855670103093</v>
      </c>
    </row>
    <row r="19" spans="2:21" ht="37.549999999999997" customHeight="1" x14ac:dyDescent="0.3">
      <c r="B19" s="15" t="s" vm="97">
        <v>253</v>
      </c>
      <c r="C19" s="201" vm="1878">
        <v>7264.18</v>
      </c>
      <c r="D19" s="212">
        <v>0.1</v>
      </c>
      <c r="E19" s="233" vm="1877">
        <v>0</v>
      </c>
      <c r="F19" s="213">
        <v>0</v>
      </c>
      <c r="G19" s="266" t="s">
        <v>127</v>
      </c>
      <c r="H19" s="271" vm="1672">
        <v>4</v>
      </c>
      <c r="I19" s="212">
        <v>3.96</v>
      </c>
      <c r="J19" s="273" vm="1536">
        <v>0</v>
      </c>
      <c r="K19" s="276">
        <v>0</v>
      </c>
      <c r="L19" s="204" t="s">
        <v>127</v>
      </c>
    </row>
    <row r="20" spans="2:21" ht="4.8499999999999996" customHeight="1" thickBot="1" x14ac:dyDescent="0.35">
      <c r="B20" s="39"/>
      <c r="C20" s="250"/>
      <c r="D20" s="40"/>
      <c r="E20" s="40"/>
      <c r="F20" s="257"/>
      <c r="G20" s="265"/>
      <c r="H20" s="44"/>
      <c r="I20" s="40"/>
      <c r="J20" s="41"/>
      <c r="K20" s="277"/>
      <c r="L20" s="206"/>
    </row>
    <row r="21" spans="2:21" ht="37.549999999999997" customHeight="1" thickBot="1" x14ac:dyDescent="0.35">
      <c r="B21" s="120" t="s" vm="38">
        <v>254</v>
      </c>
      <c r="C21" s="248">
        <v>7450034.6600000001</v>
      </c>
      <c r="D21" s="253">
        <v>100</v>
      </c>
      <c r="E21" s="247">
        <v>6081087.2499999991</v>
      </c>
      <c r="F21" s="255">
        <v>100</v>
      </c>
      <c r="G21" s="288">
        <v>81.624952466999645</v>
      </c>
      <c r="H21" s="272">
        <v>101</v>
      </c>
      <c r="I21" s="254">
        <v>100</v>
      </c>
      <c r="J21" s="235">
        <v>117</v>
      </c>
      <c r="K21" s="274">
        <v>100</v>
      </c>
      <c r="L21" s="244">
        <v>115.84158415841583</v>
      </c>
    </row>
    <row r="22" spans="2:21" s="22" customFormat="1" ht="5.3" customHeight="1" x14ac:dyDescent="0.3">
      <c r="B22" s="15"/>
      <c r="C22" s="216"/>
      <c r="D22" s="16"/>
      <c r="E22" s="216"/>
      <c r="F22" s="262"/>
      <c r="G22" s="267"/>
      <c r="H22" s="42"/>
      <c r="I22" s="36"/>
      <c r="J22" s="18"/>
      <c r="K22" s="278"/>
      <c r="L22" s="206"/>
    </row>
    <row r="23" spans="2:21" s="22" customFormat="1" ht="31.85" customHeight="1" x14ac:dyDescent="0.3">
      <c r="B23" s="15" t="s" vm="144">
        <v>255</v>
      </c>
      <c r="C23" s="201" vm="1892">
        <v>128289599.80000004</v>
      </c>
      <c r="D23" s="212">
        <v>78.86</v>
      </c>
      <c r="E23" s="201" vm="1893">
        <v>117666437.74000001</v>
      </c>
      <c r="F23" s="213">
        <v>79.3</v>
      </c>
      <c r="G23" s="266">
        <v>91.719389508922589</v>
      </c>
      <c r="H23" s="271" vm="1683">
        <v>14398</v>
      </c>
      <c r="I23" s="212">
        <v>93.2</v>
      </c>
      <c r="J23" s="232" vm="1611">
        <v>15129</v>
      </c>
      <c r="K23" s="276">
        <v>91.61</v>
      </c>
      <c r="L23" s="206">
        <v>105.077094040839</v>
      </c>
    </row>
    <row r="24" spans="2:21" s="22" customFormat="1" ht="35.450000000000003" customHeight="1" x14ac:dyDescent="0.3">
      <c r="B24" s="15" t="s" vm="121">
        <v>256</v>
      </c>
      <c r="C24" s="201" vm="1062">
        <v>2248558.1599999992</v>
      </c>
      <c r="D24" s="212">
        <v>1.39</v>
      </c>
      <c r="E24" s="201" vm="1107">
        <v>1640711.5000000002</v>
      </c>
      <c r="F24" s="213">
        <v>1.1100000000000001</v>
      </c>
      <c r="G24" s="266">
        <v>72.967269834817202</v>
      </c>
      <c r="H24" s="271" vm="833">
        <v>324</v>
      </c>
      <c r="I24" s="212">
        <v>2.1</v>
      </c>
      <c r="J24" s="232" vm="1562">
        <v>438</v>
      </c>
      <c r="K24" s="276">
        <v>2.65</v>
      </c>
      <c r="L24" s="206">
        <v>135.18518518518519</v>
      </c>
    </row>
    <row r="25" spans="2:21" s="22" customFormat="1" ht="35.450000000000003" customHeight="1" x14ac:dyDescent="0.3">
      <c r="B25" s="15" t="s" vm="96">
        <v>257</v>
      </c>
      <c r="C25" s="201" vm="1068">
        <v>6816.91</v>
      </c>
      <c r="D25" s="212">
        <v>0</v>
      </c>
      <c r="E25" s="201" vm="746">
        <v>0</v>
      </c>
      <c r="F25" s="213">
        <v>0</v>
      </c>
      <c r="G25" s="266" t="s">
        <v>127</v>
      </c>
      <c r="H25" s="271" vm="856">
        <v>1</v>
      </c>
      <c r="I25" s="212">
        <v>0.01</v>
      </c>
      <c r="J25" s="232" vm="731">
        <v>0</v>
      </c>
      <c r="K25" s="276">
        <v>0</v>
      </c>
      <c r="L25" s="204" t="s">
        <v>127</v>
      </c>
    </row>
    <row r="26" spans="2:21" s="22" customFormat="1" ht="35.450000000000003" customHeight="1" x14ac:dyDescent="0.3">
      <c r="B26" s="15" t="s" vm="166">
        <v>258</v>
      </c>
      <c r="C26" s="201" vm="1196">
        <v>6063723.8899999997</v>
      </c>
      <c r="D26" s="212">
        <v>3.73</v>
      </c>
      <c r="E26" s="201" vm="983">
        <v>8626466.870000001</v>
      </c>
      <c r="F26" s="213">
        <v>5.81</v>
      </c>
      <c r="G26" s="266">
        <v>142.2635170481023</v>
      </c>
      <c r="H26" s="271" vm="1087">
        <v>37</v>
      </c>
      <c r="I26" s="212">
        <v>0.24</v>
      </c>
      <c r="J26" s="232" vm="1307">
        <v>48</v>
      </c>
      <c r="K26" s="276">
        <v>0.28999999999999998</v>
      </c>
      <c r="L26" s="206">
        <v>129.72972972972974</v>
      </c>
    </row>
    <row r="27" spans="2:21" s="22" customFormat="1" ht="37.549999999999997" customHeight="1" x14ac:dyDescent="0.3">
      <c r="B27" s="15" t="s" vm="143">
        <v>259</v>
      </c>
      <c r="C27" s="201" vm="1548">
        <v>24976785.789999999</v>
      </c>
      <c r="D27" s="212">
        <v>15.35</v>
      </c>
      <c r="E27" s="201" vm="1063">
        <v>18915117.309999999</v>
      </c>
      <c r="F27" s="213">
        <v>12.75</v>
      </c>
      <c r="G27" s="266">
        <v>75.730790458927174</v>
      </c>
      <c r="H27" s="271" vm="1262">
        <v>12</v>
      </c>
      <c r="I27" s="212">
        <v>0.08</v>
      </c>
      <c r="J27" s="232" vm="1421">
        <v>10</v>
      </c>
      <c r="K27" s="276">
        <v>0.06</v>
      </c>
      <c r="L27" s="206">
        <v>83.333333333333343</v>
      </c>
    </row>
    <row r="28" spans="2:21" s="22" customFormat="1" ht="37.549999999999997" customHeight="1" x14ac:dyDescent="0.3">
      <c r="B28" s="15" t="s" vm="120">
        <v>260</v>
      </c>
      <c r="C28" s="201" vm="1808">
        <v>1096950.05</v>
      </c>
      <c r="D28" s="212">
        <v>0.67</v>
      </c>
      <c r="E28" s="201" vm="1810">
        <v>1533304.2500000002</v>
      </c>
      <c r="F28" s="213">
        <v>1.03</v>
      </c>
      <c r="G28" s="266">
        <v>139.77885775200068</v>
      </c>
      <c r="H28" s="271" vm="1673">
        <v>675</v>
      </c>
      <c r="I28" s="212">
        <v>4.37</v>
      </c>
      <c r="J28" s="232" vm="1809">
        <v>891</v>
      </c>
      <c r="K28" s="276">
        <v>5.39</v>
      </c>
      <c r="L28" s="206">
        <v>132</v>
      </c>
    </row>
    <row r="29" spans="2:21" s="64" customFormat="1" ht="3.75" customHeight="1" thickBot="1" x14ac:dyDescent="0.35">
      <c r="C29" s="251"/>
      <c r="E29" s="251"/>
      <c r="F29" s="258"/>
      <c r="G29" s="265"/>
      <c r="K29" s="279"/>
      <c r="L29" s="206"/>
      <c r="M29" s="79"/>
      <c r="N29" s="79"/>
      <c r="O29" s="79"/>
      <c r="P29" s="79"/>
      <c r="Q29" s="63"/>
      <c r="R29" s="63"/>
      <c r="S29" s="63"/>
      <c r="T29" s="63"/>
      <c r="U29" s="63"/>
    </row>
    <row r="30" spans="2:21" ht="37.549999999999997" customHeight="1" thickBot="1" x14ac:dyDescent="0.35">
      <c r="B30" s="120" t="s" vm="44">
        <v>261</v>
      </c>
      <c r="C30" s="248">
        <v>162682434.60000002</v>
      </c>
      <c r="D30" s="254">
        <v>100</v>
      </c>
      <c r="E30" s="247">
        <v>148382037.67000002</v>
      </c>
      <c r="F30" s="255">
        <v>100</v>
      </c>
      <c r="G30" s="288">
        <v>91.209624465504518</v>
      </c>
      <c r="H30" s="272">
        <v>15447</v>
      </c>
      <c r="I30" s="254">
        <v>100</v>
      </c>
      <c r="J30" s="235">
        <v>16516</v>
      </c>
      <c r="K30" s="274">
        <v>100.00000000000001</v>
      </c>
      <c r="L30" s="244">
        <v>106.92043762542889</v>
      </c>
    </row>
    <row r="31" spans="2:21" s="64" customFormat="1" ht="3.75" customHeight="1" x14ac:dyDescent="0.3">
      <c r="B31" s="78"/>
      <c r="C31" s="215"/>
      <c r="D31" s="79"/>
      <c r="E31" s="215"/>
      <c r="F31" s="222"/>
      <c r="G31" s="268"/>
      <c r="H31" s="79"/>
      <c r="I31" s="79"/>
      <c r="J31" s="79"/>
      <c r="K31" s="280"/>
      <c r="L31" s="206"/>
      <c r="M31" s="79"/>
      <c r="N31" s="79"/>
      <c r="O31" s="79"/>
      <c r="P31" s="79"/>
      <c r="Q31" s="63"/>
      <c r="R31" s="63"/>
      <c r="S31" s="63"/>
      <c r="T31" s="63"/>
      <c r="U31" s="63"/>
    </row>
    <row r="32" spans="2:21" ht="23.3" customHeight="1" x14ac:dyDescent="0.3">
      <c r="B32" s="31" t="s">
        <v>63</v>
      </c>
      <c r="C32" s="252">
        <v>686871475.38000011</v>
      </c>
      <c r="D32" s="260"/>
      <c r="E32" s="261">
        <v>650226375.96000004</v>
      </c>
      <c r="F32" s="263"/>
      <c r="G32" s="270">
        <v>94.66492630230033</v>
      </c>
      <c r="H32" s="236">
        <v>291117</v>
      </c>
      <c r="I32" s="260"/>
      <c r="J32" s="236">
        <v>339024</v>
      </c>
      <c r="K32" s="281"/>
      <c r="L32" s="283">
        <v>116.45627015942044</v>
      </c>
    </row>
    <row r="33" spans="2:16" x14ac:dyDescent="0.3">
      <c r="B33" s="85"/>
      <c r="C33" s="85"/>
      <c r="D33" s="85"/>
      <c r="E33" s="85"/>
      <c r="F33" s="85"/>
      <c r="G33" s="91"/>
      <c r="H33" s="85"/>
      <c r="I33" s="85"/>
      <c r="J33" s="85"/>
      <c r="K33" s="85"/>
      <c r="L33" s="91"/>
      <c r="M33" s="22"/>
      <c r="N33" s="22"/>
      <c r="O33" s="22"/>
      <c r="P33" s="22"/>
    </row>
    <row r="34" spans="2:16" x14ac:dyDescent="0.3">
      <c r="B34" s="85"/>
      <c r="C34" s="85"/>
      <c r="D34" s="85"/>
      <c r="E34" s="85"/>
      <c r="F34" s="85"/>
      <c r="G34" s="91"/>
      <c r="H34" s="85"/>
      <c r="I34" s="85"/>
      <c r="J34" s="85"/>
      <c r="K34" s="85"/>
      <c r="L34" s="91"/>
      <c r="M34" s="22"/>
      <c r="N34" s="22"/>
      <c r="O34" s="22"/>
      <c r="P34" s="22"/>
    </row>
  </sheetData>
  <mergeCells count="5">
    <mergeCell ref="B5:B6"/>
    <mergeCell ref="C5:G5"/>
    <mergeCell ref="H5:L5"/>
    <mergeCell ref="B1:L1"/>
    <mergeCell ref="B2:L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  <pageSetUpPr fitToPage="1"/>
  </sheetPr>
  <dimension ref="A1:Q34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64.296875" style="8" customWidth="1"/>
    <col min="3" max="4" width="16.69921875" style="8" bestFit="1" customWidth="1"/>
    <col min="5" max="5" width="11.59765625" style="70" bestFit="1" customWidth="1"/>
    <col min="6" max="7" width="13.59765625" style="8" bestFit="1" customWidth="1"/>
    <col min="8" max="8" width="11.59765625" style="70" customWidth="1"/>
    <col min="9" max="16384" width="9.296875" style="8"/>
  </cols>
  <sheetData>
    <row r="1" spans="1:17" s="22" customFormat="1" ht="58.85" customHeight="1" x14ac:dyDescent="0.3">
      <c r="B1" s="360" t="s">
        <v>245</v>
      </c>
      <c r="C1" s="360"/>
      <c r="D1" s="360"/>
      <c r="E1" s="360"/>
      <c r="F1" s="360"/>
      <c r="G1" s="360"/>
      <c r="H1" s="360"/>
      <c r="I1" s="122"/>
    </row>
    <row r="2" spans="1:17" s="22" customFormat="1" ht="13.3" x14ac:dyDescent="0.3">
      <c r="A2" s="123"/>
      <c r="B2" s="97"/>
      <c r="C2" s="97"/>
      <c r="D2" s="97"/>
      <c r="E2" s="97"/>
      <c r="F2" s="97"/>
      <c r="G2" s="97"/>
      <c r="H2" s="97"/>
    </row>
    <row r="3" spans="1:17" ht="21.75" customHeight="1" x14ac:dyDescent="0.3"/>
    <row r="4" spans="1:17" ht="7.5" customHeight="1" thickBot="1" x14ac:dyDescent="0.4"/>
    <row r="5" spans="1:17" s="62" customFormat="1" ht="14.95" customHeight="1" x14ac:dyDescent="0.3">
      <c r="B5" s="356" t="s">
        <v>44</v>
      </c>
      <c r="C5" s="354" t="s">
        <v>43</v>
      </c>
      <c r="D5" s="354"/>
      <c r="E5" s="354"/>
      <c r="F5" s="354" t="s">
        <v>42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8.4499999999999993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37.549999999999997" customHeight="1" x14ac:dyDescent="0.3">
      <c r="B8" s="15" t="s" vm="168">
        <v>246</v>
      </c>
      <c r="C8" s="216" vm="1636">
        <v>439000044.69</v>
      </c>
      <c r="D8" s="216" vm="1889">
        <v>408583011.16999996</v>
      </c>
      <c r="E8" s="264">
        <v>93.071291475271025</v>
      </c>
      <c r="F8" s="289" vm="1887">
        <v>68537</v>
      </c>
      <c r="G8" s="216" vm="1888">
        <v>64464</v>
      </c>
      <c r="H8" s="204">
        <v>94.057224564833604</v>
      </c>
    </row>
    <row r="9" spans="1:17" s="22" customFormat="1" ht="37.549999999999997" customHeight="1" x14ac:dyDescent="0.3">
      <c r="B9" s="15" t="s" vm="145">
        <v>247</v>
      </c>
      <c r="C9" s="216" vm="1313">
        <v>3585996.12</v>
      </c>
      <c r="D9" s="216" vm="1116">
        <v>3531589.7899999991</v>
      </c>
      <c r="E9" s="264">
        <v>98.482811241859309</v>
      </c>
      <c r="F9" s="289" vm="1044">
        <v>399</v>
      </c>
      <c r="G9" s="216" vm="1410">
        <v>264</v>
      </c>
      <c r="H9" s="204">
        <v>66.165413533834581</v>
      </c>
    </row>
    <row r="10" spans="1:17" s="22" customFormat="1" ht="35.450000000000003" customHeight="1" x14ac:dyDescent="0.3">
      <c r="B10" s="15" t="s" vm="123">
        <v>248</v>
      </c>
      <c r="C10" s="216" vm="1190">
        <v>14603204.020000001</v>
      </c>
      <c r="D10" s="216" vm="1097">
        <v>13431368.779999996</v>
      </c>
      <c r="E10" s="266">
        <v>91.975492238586114</v>
      </c>
      <c r="F10" s="289" vm="1173">
        <v>4921</v>
      </c>
      <c r="G10" s="216" vm="1222">
        <v>5521</v>
      </c>
      <c r="H10" s="204">
        <v>112.19264377159115</v>
      </c>
    </row>
    <row r="11" spans="1:17" s="64" customFormat="1" ht="4.8499999999999996" customHeight="1" thickBot="1" x14ac:dyDescent="0.35">
      <c r="B11" s="78"/>
      <c r="C11" s="215"/>
      <c r="D11" s="215"/>
      <c r="E11" s="265"/>
      <c r="F11" s="202"/>
      <c r="G11" s="294"/>
      <c r="H11" s="282"/>
      <c r="I11" s="79"/>
      <c r="J11" s="79"/>
      <c r="K11" s="79"/>
      <c r="L11" s="79"/>
      <c r="M11" s="63"/>
      <c r="N11" s="63"/>
      <c r="O11" s="63"/>
      <c r="P11" s="63"/>
      <c r="Q11" s="63"/>
    </row>
    <row r="12" spans="1:17" ht="37.549999999999997" customHeight="1" thickBot="1" x14ac:dyDescent="0.35">
      <c r="B12" s="120" t="s" vm="36">
        <v>249</v>
      </c>
      <c r="C12" s="247">
        <v>457189244.82999998</v>
      </c>
      <c r="D12" s="247">
        <v>425545969.73999995</v>
      </c>
      <c r="E12" s="288">
        <v>93.078735895949123</v>
      </c>
      <c r="F12" s="290">
        <v>73857</v>
      </c>
      <c r="G12" s="247">
        <v>70249</v>
      </c>
      <c r="H12" s="288">
        <v>95.114884168054488</v>
      </c>
    </row>
    <row r="13" spans="1:17" s="64" customFormat="1" ht="3.05" customHeight="1" x14ac:dyDescent="0.3">
      <c r="B13" s="78"/>
      <c r="C13" s="215"/>
      <c r="D13" s="215"/>
      <c r="E13" s="267"/>
      <c r="F13" s="202"/>
      <c r="G13" s="294"/>
      <c r="H13" s="295"/>
      <c r="I13" s="79"/>
      <c r="J13" s="79"/>
      <c r="K13" s="79"/>
      <c r="L13" s="79"/>
      <c r="M13" s="63"/>
      <c r="N13" s="63"/>
      <c r="O13" s="63"/>
      <c r="P13" s="63"/>
      <c r="Q13" s="63"/>
    </row>
    <row r="14" spans="1:17" ht="37.549999999999997" customHeight="1" x14ac:dyDescent="0.3">
      <c r="B14" s="15" t="s" vm="167">
        <v>250</v>
      </c>
      <c r="C14" s="216" vm="1393">
        <v>1231268.1500000001</v>
      </c>
      <c r="D14" s="216" vm="1160">
        <v>1101010.1100000001</v>
      </c>
      <c r="E14" s="266">
        <v>89.420822750917424</v>
      </c>
      <c r="F14" s="289" vm="1008">
        <v>189</v>
      </c>
      <c r="G14" s="216" vm="722">
        <v>276</v>
      </c>
      <c r="H14" s="296">
        <v>146.03174603174602</v>
      </c>
    </row>
    <row r="15" spans="1:17" ht="3.05" customHeight="1" thickBot="1" x14ac:dyDescent="0.35">
      <c r="B15" s="32"/>
      <c r="C15" s="286"/>
      <c r="D15" s="286"/>
      <c r="E15" s="265"/>
      <c r="F15" s="291"/>
      <c r="G15" s="286"/>
      <c r="H15" s="296"/>
    </row>
    <row r="16" spans="1:17" ht="37.549999999999997" customHeight="1" thickBot="1" x14ac:dyDescent="0.35">
      <c r="B16" s="120" t="s" vm="51">
        <v>251</v>
      </c>
      <c r="C16" s="247">
        <v>1231268.1500000001</v>
      </c>
      <c r="D16" s="247">
        <v>1101010.1100000001</v>
      </c>
      <c r="E16" s="288">
        <v>89.420822750917424</v>
      </c>
      <c r="F16" s="290">
        <v>189</v>
      </c>
      <c r="G16" s="247">
        <v>276</v>
      </c>
      <c r="H16" s="288">
        <v>146.03174603174602</v>
      </c>
    </row>
    <row r="17" spans="2:17" ht="4.8499999999999996" customHeight="1" x14ac:dyDescent="0.3">
      <c r="B17" s="37"/>
      <c r="C17" s="249"/>
      <c r="D17" s="249"/>
      <c r="E17" s="267"/>
      <c r="F17" s="292"/>
      <c r="G17" s="249"/>
      <c r="H17" s="296"/>
    </row>
    <row r="18" spans="2:17" ht="41.95" customHeight="1" x14ac:dyDescent="0.3">
      <c r="B18" s="15" t="s" vm="122">
        <v>252</v>
      </c>
      <c r="C18" s="216" vm="1466">
        <v>2841485.7399999998</v>
      </c>
      <c r="D18" s="216" vm="1145">
        <v>12624174.700000001</v>
      </c>
      <c r="E18" s="266">
        <v>444.28076911623009</v>
      </c>
      <c r="F18" s="289" vm="795">
        <v>8</v>
      </c>
      <c r="G18" s="216" vm="1180">
        <v>9</v>
      </c>
      <c r="H18" s="296">
        <v>112.5</v>
      </c>
    </row>
    <row r="19" spans="2:17" ht="37.549999999999997" customHeight="1" x14ac:dyDescent="0.3">
      <c r="B19" s="15" t="s" vm="97">
        <v>253</v>
      </c>
      <c r="C19" s="216" vm="1586">
        <v>0</v>
      </c>
      <c r="D19" s="216" vm="1706">
        <v>0</v>
      </c>
      <c r="E19" s="266" t="s">
        <v>127</v>
      </c>
      <c r="F19" s="289" vm="1002">
        <v>0</v>
      </c>
      <c r="G19" s="216" vm="1940">
        <v>0</v>
      </c>
      <c r="H19" s="296" t="s">
        <v>127</v>
      </c>
    </row>
    <row r="20" spans="2:17" ht="4.8499999999999996" customHeight="1" thickBot="1" x14ac:dyDescent="0.35">
      <c r="B20" s="39"/>
      <c r="C20" s="250"/>
      <c r="D20" s="250"/>
      <c r="E20" s="265"/>
      <c r="F20" s="293"/>
      <c r="G20" s="250"/>
      <c r="H20" s="296"/>
    </row>
    <row r="21" spans="2:17" ht="37.549999999999997" customHeight="1" thickBot="1" x14ac:dyDescent="0.35">
      <c r="B21" s="120" t="s" vm="38">
        <v>254</v>
      </c>
      <c r="C21" s="247">
        <v>2841485.7399999998</v>
      </c>
      <c r="D21" s="247">
        <v>12624174.700000001</v>
      </c>
      <c r="E21" s="288">
        <v>444.28076911623009</v>
      </c>
      <c r="F21" s="290">
        <v>8</v>
      </c>
      <c r="G21" s="247">
        <v>9</v>
      </c>
      <c r="H21" s="288">
        <v>112.5</v>
      </c>
    </row>
    <row r="22" spans="2:17" s="22" customFormat="1" ht="5.3" customHeight="1" x14ac:dyDescent="0.3">
      <c r="B22" s="15"/>
      <c r="C22" s="216"/>
      <c r="D22" s="216"/>
      <c r="E22" s="267"/>
      <c r="F22" s="289"/>
      <c r="G22" s="216"/>
      <c r="H22" s="296"/>
    </row>
    <row r="23" spans="2:17" s="22" customFormat="1" ht="31.85" customHeight="1" x14ac:dyDescent="0.3">
      <c r="B23" s="15" t="s" vm="144">
        <v>255</v>
      </c>
      <c r="C23" s="216" vm="1251">
        <v>48631217.479999997</v>
      </c>
      <c r="D23" s="216" vm="1064">
        <v>70590061.370000005</v>
      </c>
      <c r="E23" s="266">
        <v>145.15380249123061</v>
      </c>
      <c r="F23" s="289" vm="1409">
        <v>1038</v>
      </c>
      <c r="G23" s="216" vm="863">
        <v>1087</v>
      </c>
      <c r="H23" s="296">
        <v>104.72061657032756</v>
      </c>
    </row>
    <row r="24" spans="2:17" s="22" customFormat="1" ht="35.450000000000003" customHeight="1" x14ac:dyDescent="0.3">
      <c r="B24" s="15" t="s" vm="121">
        <v>256</v>
      </c>
      <c r="C24" s="216" vm="1356">
        <v>1996642.16</v>
      </c>
      <c r="D24" s="216" vm="1374">
        <v>1416642.7099999997</v>
      </c>
      <c r="E24" s="266">
        <v>70.951256984376201</v>
      </c>
      <c r="F24" s="289" vm="1283">
        <v>42</v>
      </c>
      <c r="G24" s="216" vm="1594">
        <v>27</v>
      </c>
      <c r="H24" s="296">
        <v>64.285714285714292</v>
      </c>
    </row>
    <row r="25" spans="2:17" s="22" customFormat="1" ht="35.450000000000003" customHeight="1" x14ac:dyDescent="0.3">
      <c r="B25" s="15" t="s" vm="96">
        <v>257</v>
      </c>
      <c r="C25" s="216" vm="1006">
        <v>0</v>
      </c>
      <c r="D25" s="216" vm="1709">
        <v>0</v>
      </c>
      <c r="E25" s="266" t="s">
        <v>127</v>
      </c>
      <c r="F25" s="289" vm="1946">
        <v>0</v>
      </c>
      <c r="G25" s="216" vm="1469">
        <v>0</v>
      </c>
      <c r="H25" s="296" t="s">
        <v>127</v>
      </c>
    </row>
    <row r="26" spans="2:17" s="22" customFormat="1" ht="35.450000000000003" customHeight="1" x14ac:dyDescent="0.3">
      <c r="B26" s="15" t="s" vm="166">
        <v>258</v>
      </c>
      <c r="C26" s="216" vm="843">
        <v>120043.37000000001</v>
      </c>
      <c r="D26" s="216" vm="941">
        <v>0</v>
      </c>
      <c r="E26" s="266" t="s">
        <v>127</v>
      </c>
      <c r="F26" s="289" vm="1941">
        <v>1</v>
      </c>
      <c r="G26" s="216" vm="1171">
        <v>0</v>
      </c>
      <c r="H26" s="296" t="s">
        <v>127</v>
      </c>
    </row>
    <row r="27" spans="2:17" s="22" customFormat="1" ht="37.549999999999997" customHeight="1" x14ac:dyDescent="0.3">
      <c r="B27" s="15" t="s" vm="143">
        <v>259</v>
      </c>
      <c r="C27" s="216" vm="1050">
        <v>0</v>
      </c>
      <c r="D27" s="216" vm="1670">
        <v>0</v>
      </c>
      <c r="E27" s="266" t="s">
        <v>127</v>
      </c>
      <c r="F27" s="289" vm="1379">
        <v>0</v>
      </c>
      <c r="G27" s="216" vm="1126">
        <v>0</v>
      </c>
      <c r="H27" s="296" t="s">
        <v>127</v>
      </c>
    </row>
    <row r="28" spans="2:17" s="22" customFormat="1" ht="37.549999999999997" customHeight="1" x14ac:dyDescent="0.3">
      <c r="B28" s="15" t="s" vm="120">
        <v>260</v>
      </c>
      <c r="C28" s="216" vm="1854">
        <v>90538.540000000008</v>
      </c>
      <c r="D28" s="216" vm="1856">
        <v>382057.98</v>
      </c>
      <c r="E28" s="266">
        <v>421.98380932584064</v>
      </c>
      <c r="F28" s="289" vm="1855">
        <v>12</v>
      </c>
      <c r="G28" s="216" vm="1925">
        <v>36</v>
      </c>
      <c r="H28" s="296">
        <v>300</v>
      </c>
    </row>
    <row r="29" spans="2:17" s="64" customFormat="1" ht="3.75" customHeight="1" thickBot="1" x14ac:dyDescent="0.35">
      <c r="C29" s="251"/>
      <c r="D29" s="251"/>
      <c r="E29" s="265"/>
      <c r="F29" s="208"/>
      <c r="G29" s="251"/>
      <c r="H29" s="296"/>
      <c r="I29" s="79"/>
      <c r="J29" s="79"/>
      <c r="K29" s="79"/>
      <c r="L29" s="79"/>
      <c r="M29" s="63"/>
      <c r="N29" s="63"/>
      <c r="O29" s="63"/>
      <c r="P29" s="63"/>
      <c r="Q29" s="63"/>
    </row>
    <row r="30" spans="2:17" ht="37.549999999999997" customHeight="1" thickBot="1" x14ac:dyDescent="0.35">
      <c r="B30" s="120" t="s" vm="44">
        <v>261</v>
      </c>
      <c r="C30" s="247">
        <v>50838441.54999999</v>
      </c>
      <c r="D30" s="247">
        <v>72388762.060000002</v>
      </c>
      <c r="E30" s="288">
        <v>142.38981340292486</v>
      </c>
      <c r="F30" s="290">
        <v>1093</v>
      </c>
      <c r="G30" s="247">
        <v>1150</v>
      </c>
      <c r="H30" s="288">
        <v>105.21500457456541</v>
      </c>
    </row>
    <row r="31" spans="2:17" s="64" customFormat="1" ht="3.75" customHeight="1" x14ac:dyDescent="0.3">
      <c r="B31" s="78"/>
      <c r="C31" s="215"/>
      <c r="D31" s="215"/>
      <c r="E31" s="268"/>
      <c r="F31" s="202"/>
      <c r="G31" s="294"/>
      <c r="H31" s="296"/>
      <c r="I31" s="79"/>
      <c r="J31" s="79"/>
      <c r="K31" s="79"/>
      <c r="L31" s="79"/>
      <c r="M31" s="63"/>
      <c r="N31" s="63"/>
      <c r="O31" s="63"/>
      <c r="P31" s="63"/>
      <c r="Q31" s="63"/>
    </row>
    <row r="32" spans="2:17" ht="23.3" customHeight="1" x14ac:dyDescent="0.3">
      <c r="B32" s="31" t="s">
        <v>63</v>
      </c>
      <c r="C32" s="252">
        <v>512100440.26999998</v>
      </c>
      <c r="D32" s="252">
        <v>511659916.60999995</v>
      </c>
      <c r="E32" s="269">
        <v>99.913977097975589</v>
      </c>
      <c r="F32" s="261">
        <v>75147</v>
      </c>
      <c r="G32" s="252">
        <v>71684</v>
      </c>
      <c r="H32" s="297">
        <v>95.391698936750629</v>
      </c>
    </row>
    <row r="33" spans="2:12" x14ac:dyDescent="0.3">
      <c r="B33" s="85"/>
      <c r="C33" s="85"/>
      <c r="D33" s="85"/>
      <c r="E33" s="91"/>
      <c r="F33" s="85"/>
      <c r="G33" s="85"/>
      <c r="H33" s="91"/>
      <c r="I33" s="22"/>
      <c r="J33" s="22"/>
      <c r="K33" s="22"/>
      <c r="L33" s="22"/>
    </row>
    <row r="34" spans="2:12" x14ac:dyDescent="0.3">
      <c r="B34" s="85"/>
      <c r="C34" s="85"/>
      <c r="D34" s="85"/>
      <c r="E34" s="91"/>
      <c r="F34" s="85"/>
      <c r="G34" s="85"/>
      <c r="H34" s="91"/>
      <c r="I34" s="22"/>
      <c r="J34" s="22"/>
      <c r="K34" s="22"/>
      <c r="L34" s="22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39997558519241921"/>
    <pageSetUpPr fitToPage="1"/>
  </sheetPr>
  <dimension ref="A1:U35"/>
  <sheetViews>
    <sheetView showGridLines="0" zoomScale="86" zoomScaleNormal="86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3984375" style="8" bestFit="1" customWidth="1"/>
    <col min="4" max="4" width="11.3984375" style="8" bestFit="1" customWidth="1"/>
    <col min="5" max="5" width="17.3984375" style="8" bestFit="1" customWidth="1"/>
    <col min="6" max="6" width="11.3984375" style="8" bestFit="1" customWidth="1"/>
    <col min="7" max="7" width="11.69921875" style="70" bestFit="1" customWidth="1"/>
    <col min="8" max="8" width="13.69921875" style="8" bestFit="1" customWidth="1"/>
    <col min="9" max="9" width="12.3984375" style="8" bestFit="1" customWidth="1"/>
    <col min="10" max="10" width="13.69921875" style="8" bestFit="1" customWidth="1"/>
    <col min="11" max="11" width="12.3984375" style="8" bestFit="1" customWidth="1"/>
    <col min="12" max="12" width="11.59765625" style="70" customWidth="1"/>
    <col min="13" max="16384" width="9.296875" style="8"/>
  </cols>
  <sheetData>
    <row r="1" spans="1:21" s="22" customFormat="1" ht="58.85" customHeight="1" x14ac:dyDescent="0.3">
      <c r="B1" s="360" t="s">
        <v>244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21" s="22" customFormat="1" ht="13.3" x14ac:dyDescent="0.3">
      <c r="A2" s="123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1" ht="21.75" customHeight="1" x14ac:dyDescent="0.3"/>
    <row r="4" spans="1:21" ht="7.5" customHeight="1" thickBot="1" x14ac:dyDescent="0.4"/>
    <row r="5" spans="1:21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21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21" s="64" customFormat="1" ht="8.4499999999999993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21" s="22" customFormat="1" ht="21.05" customHeight="1" x14ac:dyDescent="0.3">
      <c r="B8" s="15" t="s" vm="165">
        <v>220</v>
      </c>
      <c r="C8" s="233" vm="1642">
        <v>13802902.369999997</v>
      </c>
      <c r="D8" s="212">
        <v>29.94</v>
      </c>
      <c r="E8" s="233" vm="1920">
        <v>6901952.2400000012</v>
      </c>
      <c r="F8" s="212">
        <v>18.75</v>
      </c>
      <c r="G8" s="287">
        <v>50.003630069869153</v>
      </c>
      <c r="H8" s="271" vm="1117">
        <v>1000</v>
      </c>
      <c r="I8" s="212">
        <v>6.76</v>
      </c>
      <c r="J8" s="232" vm="1359">
        <v>1226</v>
      </c>
      <c r="K8" s="212">
        <v>8.8000000000000007</v>
      </c>
      <c r="L8" s="204">
        <v>122.6</v>
      </c>
    </row>
    <row r="9" spans="1:21" s="22" customFormat="1" ht="21.05" customHeight="1" x14ac:dyDescent="0.3">
      <c r="B9" s="15" t="s" vm="142">
        <v>221</v>
      </c>
      <c r="C9" s="233" vm="1785">
        <v>851593.16</v>
      </c>
      <c r="D9" s="212">
        <v>1.85</v>
      </c>
      <c r="E9" s="233" vm="1666">
        <v>689138.3899999999</v>
      </c>
      <c r="F9" s="212">
        <v>1.87</v>
      </c>
      <c r="G9" s="287">
        <v>80.923429446051429</v>
      </c>
      <c r="H9" s="271" vm="1786">
        <v>1062</v>
      </c>
      <c r="I9" s="212">
        <v>7.18</v>
      </c>
      <c r="J9" s="232" vm="1787">
        <v>763</v>
      </c>
      <c r="K9" s="212">
        <v>5.48</v>
      </c>
      <c r="L9" s="204">
        <v>71.845574387947266</v>
      </c>
    </row>
    <row r="10" spans="1:21" s="22" customFormat="1" ht="21.05" customHeight="1" x14ac:dyDescent="0.3">
      <c r="B10" s="15" t="s" vm="119">
        <v>222</v>
      </c>
      <c r="C10" s="233" vm="1004">
        <v>13462536.630000001</v>
      </c>
      <c r="D10" s="212">
        <v>29.2</v>
      </c>
      <c r="E10" s="233" vm="957">
        <v>12605432.830000004</v>
      </c>
      <c r="F10" s="212">
        <v>34.25</v>
      </c>
      <c r="G10" s="287">
        <v>93.633415280074175</v>
      </c>
      <c r="H10" s="271" vm="1917">
        <v>8538</v>
      </c>
      <c r="I10" s="212">
        <v>57.69</v>
      </c>
      <c r="J10" s="232" vm="1476">
        <v>8252</v>
      </c>
      <c r="K10" s="212">
        <v>59.26</v>
      </c>
      <c r="L10" s="204">
        <v>96.650269383930663</v>
      </c>
    </row>
    <row r="11" spans="1:21" s="22" customFormat="1" ht="21.05" customHeight="1" x14ac:dyDescent="0.3">
      <c r="B11" s="15" t="s" vm="95">
        <v>223</v>
      </c>
      <c r="C11" s="233" vm="1846">
        <v>55.379999999999995</v>
      </c>
      <c r="D11" s="212">
        <v>0</v>
      </c>
      <c r="E11" s="233" vm="1847">
        <v>619.88</v>
      </c>
      <c r="F11" s="212">
        <v>0</v>
      </c>
      <c r="G11" s="287">
        <v>1119.3210545323223</v>
      </c>
      <c r="H11" s="271" vm="1848">
        <v>2</v>
      </c>
      <c r="I11" s="212">
        <v>0.01</v>
      </c>
      <c r="J11" s="232" vm="1845">
        <v>1</v>
      </c>
      <c r="K11" s="212">
        <v>0.01</v>
      </c>
      <c r="L11" s="204">
        <v>50</v>
      </c>
    </row>
    <row r="12" spans="1:21" s="64" customFormat="1" ht="21.05" customHeight="1" thickBot="1" x14ac:dyDescent="0.35">
      <c r="B12" s="15" t="s" vm="164">
        <v>224</v>
      </c>
      <c r="C12" s="233" vm="1485">
        <v>17986413.109999999</v>
      </c>
      <c r="D12" s="212">
        <v>39.01</v>
      </c>
      <c r="E12" s="233" vm="952">
        <v>16611267.610000001</v>
      </c>
      <c r="F12" s="212">
        <v>45.13</v>
      </c>
      <c r="G12" s="287">
        <v>92.354531770231318</v>
      </c>
      <c r="H12" s="271" vm="967">
        <v>4198</v>
      </c>
      <c r="I12" s="212">
        <v>28.36</v>
      </c>
      <c r="J12" s="232" vm="737">
        <v>3684</v>
      </c>
      <c r="K12" s="212">
        <v>26.45</v>
      </c>
      <c r="L12" s="204">
        <v>87.756074321105288</v>
      </c>
      <c r="M12" s="79"/>
      <c r="N12" s="79"/>
      <c r="O12" s="79"/>
      <c r="P12" s="79"/>
      <c r="Q12" s="63"/>
      <c r="R12" s="63"/>
      <c r="S12" s="63"/>
      <c r="T12" s="63"/>
      <c r="U12" s="63"/>
    </row>
    <row r="13" spans="1:21" ht="21.05" customHeight="1" thickBot="1" x14ac:dyDescent="0.35">
      <c r="B13" s="120" t="s" vm="35">
        <v>225</v>
      </c>
      <c r="C13" s="235" vm="1339">
        <v>46103500.650000013</v>
      </c>
      <c r="D13" s="254">
        <v>100</v>
      </c>
      <c r="E13" s="235" vm="1948">
        <v>36808410.95000001</v>
      </c>
      <c r="F13" s="254">
        <v>100</v>
      </c>
      <c r="G13" s="243">
        <v>79.838646590928661</v>
      </c>
      <c r="H13" s="235" vm="1347">
        <v>14800</v>
      </c>
      <c r="I13" s="254">
        <v>100</v>
      </c>
      <c r="J13" s="234" vm="1399">
        <v>13926</v>
      </c>
      <c r="K13" s="254">
        <v>100</v>
      </c>
      <c r="L13" s="243">
        <v>94.094594594594597</v>
      </c>
    </row>
    <row r="14" spans="1:21" s="22" customFormat="1" ht="26.6" x14ac:dyDescent="0.3">
      <c r="B14" s="15" t="s" vm="118">
        <v>226</v>
      </c>
      <c r="C14" s="233" vm="1300">
        <v>278075841.84000009</v>
      </c>
      <c r="D14" s="212">
        <v>57.55</v>
      </c>
      <c r="E14" s="233" vm="1928">
        <v>283042443.22999996</v>
      </c>
      <c r="F14" s="212">
        <v>60.27</v>
      </c>
      <c r="G14" s="287">
        <v>101.78606000332009</v>
      </c>
      <c r="H14" s="271" vm="1175">
        <v>347143</v>
      </c>
      <c r="I14" s="212">
        <v>87.41</v>
      </c>
      <c r="J14" s="232" vm="1038">
        <v>340898</v>
      </c>
      <c r="K14" s="212">
        <v>87.33</v>
      </c>
      <c r="L14" s="204">
        <v>98.201029546901424</v>
      </c>
    </row>
    <row r="15" spans="1:21" s="22" customFormat="1" ht="26.6" x14ac:dyDescent="0.3">
      <c r="B15" s="15" t="s" vm="94">
        <v>227</v>
      </c>
      <c r="C15" s="233" vm="1952">
        <v>134205154.86999997</v>
      </c>
      <c r="D15" s="212">
        <v>27.78</v>
      </c>
      <c r="E15" s="233" vm="1279">
        <v>125602014.28000003</v>
      </c>
      <c r="F15" s="212">
        <v>26.74</v>
      </c>
      <c r="G15" s="287">
        <v>93.589560253230573</v>
      </c>
      <c r="H15" s="271" vm="1122">
        <v>14900</v>
      </c>
      <c r="I15" s="212">
        <v>3.75</v>
      </c>
      <c r="J15" s="232" vm="980">
        <v>14559</v>
      </c>
      <c r="K15" s="212">
        <v>3.73</v>
      </c>
      <c r="L15" s="204">
        <v>97.711409395973163</v>
      </c>
    </row>
    <row r="16" spans="1:21" ht="27.15" thickBot="1" x14ac:dyDescent="0.35">
      <c r="B16" s="15" t="s" vm="163">
        <v>228</v>
      </c>
      <c r="C16" s="233" vm="969">
        <v>70865513.430000007</v>
      </c>
      <c r="D16" s="212">
        <v>14.67</v>
      </c>
      <c r="E16" s="233" vm="1323">
        <v>60989444.409999996</v>
      </c>
      <c r="F16" s="212">
        <v>12.99</v>
      </c>
      <c r="G16" s="287">
        <v>86.063645711456743</v>
      </c>
      <c r="H16" s="271" vm="734">
        <v>35096</v>
      </c>
      <c r="I16" s="212">
        <v>8.84</v>
      </c>
      <c r="J16" s="232" vm="872">
        <v>34900</v>
      </c>
      <c r="K16" s="212">
        <v>8.94</v>
      </c>
      <c r="L16" s="204">
        <v>99.441531798495546</v>
      </c>
    </row>
    <row r="17" spans="2:21" ht="14.95" thickBot="1" x14ac:dyDescent="0.35">
      <c r="B17" s="120" t="s" vm="50">
        <v>229</v>
      </c>
      <c r="C17" s="235" vm="880">
        <v>483146510.13999999</v>
      </c>
      <c r="D17" s="254">
        <v>100</v>
      </c>
      <c r="E17" s="235" vm="779">
        <v>469633901.9199999</v>
      </c>
      <c r="F17" s="254">
        <v>100</v>
      </c>
      <c r="G17" s="243">
        <v>97.20320690796575</v>
      </c>
      <c r="H17" s="235" vm="805">
        <v>397139</v>
      </c>
      <c r="I17" s="254">
        <v>100</v>
      </c>
      <c r="J17" s="234" vm="888">
        <v>390357</v>
      </c>
      <c r="K17" s="254">
        <v>100</v>
      </c>
      <c r="L17" s="243">
        <v>98.292285572557716</v>
      </c>
    </row>
    <row r="18" spans="2:21" ht="21.05" customHeight="1" x14ac:dyDescent="0.3">
      <c r="B18" s="15" t="s" vm="117">
        <v>230</v>
      </c>
      <c r="C18" s="233" vm="1710">
        <v>141767485.52000001</v>
      </c>
      <c r="D18" s="212">
        <v>25.03</v>
      </c>
      <c r="E18" s="233" vm="955">
        <v>131958802.95999999</v>
      </c>
      <c r="F18" s="212">
        <v>26.11</v>
      </c>
      <c r="G18" s="287">
        <v>93.081147962791334</v>
      </c>
      <c r="H18" s="271" vm="1472">
        <v>25300</v>
      </c>
      <c r="I18" s="212">
        <v>5.43</v>
      </c>
      <c r="J18" s="232" vm="1932">
        <v>29249</v>
      </c>
      <c r="K18" s="212">
        <v>6.16</v>
      </c>
      <c r="L18" s="204">
        <v>115.60869565217391</v>
      </c>
    </row>
    <row r="19" spans="2:21" ht="21.05" customHeight="1" x14ac:dyDescent="0.3">
      <c r="B19" s="15" t="s" vm="93">
        <v>231</v>
      </c>
      <c r="C19" s="233" vm="1715">
        <v>49021546.140000001</v>
      </c>
      <c r="D19" s="212">
        <v>8.66</v>
      </c>
      <c r="E19" s="233" vm="1505">
        <v>40435725.489999995</v>
      </c>
      <c r="F19" s="212">
        <v>8</v>
      </c>
      <c r="G19" s="287">
        <v>82.485618414645927</v>
      </c>
      <c r="H19" s="271" vm="1713">
        <v>39829</v>
      </c>
      <c r="I19" s="212">
        <v>8.56</v>
      </c>
      <c r="J19" s="232" vm="1714">
        <v>38352</v>
      </c>
      <c r="K19" s="212">
        <v>8.08</v>
      </c>
      <c r="L19" s="204">
        <v>96.291646790027357</v>
      </c>
    </row>
    <row r="20" spans="2:21" ht="21.05" customHeight="1" x14ac:dyDescent="0.3">
      <c r="B20" s="15" t="s" vm="162">
        <v>232</v>
      </c>
      <c r="C20" s="233" vm="1869">
        <v>21002562.319999997</v>
      </c>
      <c r="D20" s="212">
        <v>3.71</v>
      </c>
      <c r="E20" s="233" vm="1872">
        <v>19163362.890000001</v>
      </c>
      <c r="F20" s="212">
        <v>3.79</v>
      </c>
      <c r="G20" s="287">
        <v>91.242975966562938</v>
      </c>
      <c r="H20" s="271" vm="1870">
        <v>34536</v>
      </c>
      <c r="I20" s="212">
        <v>7.42</v>
      </c>
      <c r="J20" s="232" vm="1871">
        <v>35077</v>
      </c>
      <c r="K20" s="212">
        <v>7.39</v>
      </c>
      <c r="L20" s="204">
        <v>101.5664813527913</v>
      </c>
    </row>
    <row r="21" spans="2:21" s="22" customFormat="1" ht="21.05" customHeight="1" x14ac:dyDescent="0.3">
      <c r="B21" s="15" t="s" vm="141">
        <v>233</v>
      </c>
      <c r="C21" s="233" vm="1022">
        <v>66681030.330000013</v>
      </c>
      <c r="D21" s="212">
        <v>11.77</v>
      </c>
      <c r="E21" s="233" vm="1311">
        <v>70002815.899999991</v>
      </c>
      <c r="F21" s="212">
        <v>13.85</v>
      </c>
      <c r="G21" s="287">
        <v>104.9816050435344</v>
      </c>
      <c r="H21" s="271" vm="1638">
        <v>280732</v>
      </c>
      <c r="I21" s="212">
        <v>60.309999999999995</v>
      </c>
      <c r="J21" s="232" vm="1653">
        <v>286005</v>
      </c>
      <c r="K21" s="212">
        <v>60.28</v>
      </c>
      <c r="L21" s="204">
        <v>101.87830386275878</v>
      </c>
    </row>
    <row r="22" spans="2:21" s="22" customFormat="1" ht="21.05" customHeight="1" x14ac:dyDescent="0.3">
      <c r="B22" s="15" t="s" vm="116">
        <v>234</v>
      </c>
      <c r="C22" s="233" vm="1154">
        <v>20220929.419999998</v>
      </c>
      <c r="D22" s="212">
        <v>3.57</v>
      </c>
      <c r="E22" s="233" vm="1697">
        <v>22145253.280000001</v>
      </c>
      <c r="F22" s="212">
        <v>4.38</v>
      </c>
      <c r="G22" s="287">
        <v>109.51649560725288</v>
      </c>
      <c r="H22" s="271" vm="1241">
        <v>2075</v>
      </c>
      <c r="I22" s="212">
        <v>0.45</v>
      </c>
      <c r="J22" s="232" vm="1698">
        <v>1923</v>
      </c>
      <c r="K22" s="212">
        <v>0.41</v>
      </c>
      <c r="L22" s="204">
        <v>92.674698795180717</v>
      </c>
    </row>
    <row r="23" spans="2:21" s="22" customFormat="1" ht="21.05" customHeight="1" x14ac:dyDescent="0.3">
      <c r="B23" s="15" t="s" vm="92">
        <v>235</v>
      </c>
      <c r="C23" s="233" vm="1365">
        <v>8183758.0300000003</v>
      </c>
      <c r="D23" s="212">
        <v>1.44</v>
      </c>
      <c r="E23" s="233" vm="1201">
        <v>6152484.910000002</v>
      </c>
      <c r="F23" s="212">
        <v>1.22</v>
      </c>
      <c r="G23" s="287">
        <v>75.179213357069429</v>
      </c>
      <c r="H23" s="271" vm="1951">
        <v>599</v>
      </c>
      <c r="I23" s="212">
        <v>0.13</v>
      </c>
      <c r="J23" s="232" vm="1121">
        <v>506</v>
      </c>
      <c r="K23" s="212">
        <v>0.11</v>
      </c>
      <c r="L23" s="204">
        <v>84.474123539232053</v>
      </c>
    </row>
    <row r="24" spans="2:21" s="22" customFormat="1" ht="21.05" customHeight="1" x14ac:dyDescent="0.3">
      <c r="B24" s="15" t="s" vm="161">
        <v>236</v>
      </c>
      <c r="C24" s="233" vm="1240">
        <v>134574.84</v>
      </c>
      <c r="D24" s="212">
        <v>0.02</v>
      </c>
      <c r="E24" s="233" vm="1499">
        <v>178454.38</v>
      </c>
      <c r="F24" s="212">
        <v>0.04</v>
      </c>
      <c r="G24" s="287">
        <v>132.6060502839907</v>
      </c>
      <c r="H24" s="271" vm="1530">
        <v>18</v>
      </c>
      <c r="I24" s="212">
        <v>0</v>
      </c>
      <c r="J24" s="232" vm="1363">
        <v>30</v>
      </c>
      <c r="K24" s="212">
        <v>0.01</v>
      </c>
      <c r="L24" s="204">
        <v>166.66666666666669</v>
      </c>
    </row>
    <row r="25" spans="2:21" s="22" customFormat="1" ht="21.05" customHeight="1" x14ac:dyDescent="0.3">
      <c r="B25" s="15" t="s" vm="140">
        <v>237</v>
      </c>
      <c r="C25" s="233" vm="1904">
        <v>0</v>
      </c>
      <c r="D25" s="212">
        <v>0</v>
      </c>
      <c r="E25" s="233" vm="1903">
        <v>0</v>
      </c>
      <c r="F25" s="212">
        <v>0</v>
      </c>
      <c r="G25" s="287" t="s">
        <v>127</v>
      </c>
      <c r="H25" s="271" vm="1685">
        <v>0</v>
      </c>
      <c r="I25" s="212">
        <v>0</v>
      </c>
      <c r="J25" s="232" vm="1905">
        <v>0</v>
      </c>
      <c r="K25" s="212">
        <v>0</v>
      </c>
      <c r="L25" s="204" t="s">
        <v>127</v>
      </c>
    </row>
    <row r="26" spans="2:21" s="22" customFormat="1" ht="21.05" customHeight="1" x14ac:dyDescent="0.3">
      <c r="B26" s="15" t="s" vm="115">
        <v>238</v>
      </c>
      <c r="C26" s="233" vm="1209">
        <v>3432195.6399999997</v>
      </c>
      <c r="D26" s="212">
        <v>0.61</v>
      </c>
      <c r="E26" s="233" vm="1956">
        <v>2526967.6400000006</v>
      </c>
      <c r="F26" s="212">
        <v>0.5</v>
      </c>
      <c r="G26" s="287">
        <v>73.625396249265123</v>
      </c>
      <c r="H26" s="271" vm="1524">
        <v>758</v>
      </c>
      <c r="I26" s="212">
        <v>0.16</v>
      </c>
      <c r="J26" s="232" vm="1085">
        <v>717</v>
      </c>
      <c r="K26" s="212">
        <v>0.15</v>
      </c>
      <c r="L26" s="204">
        <v>94.5910290237467</v>
      </c>
    </row>
    <row r="27" spans="2:21" s="22" customFormat="1" ht="21.05" customHeight="1" x14ac:dyDescent="0.3">
      <c r="B27" s="15" t="s" vm="91">
        <v>239</v>
      </c>
      <c r="C27" s="233" vm="1565">
        <v>879904.85000000009</v>
      </c>
      <c r="D27" s="212">
        <v>0.16</v>
      </c>
      <c r="E27" s="233" vm="1151">
        <v>898774.14999999979</v>
      </c>
      <c r="F27" s="212">
        <v>0.18</v>
      </c>
      <c r="G27" s="287">
        <v>102.1444705072372</v>
      </c>
      <c r="H27" s="271" vm="835">
        <v>152</v>
      </c>
      <c r="I27" s="212">
        <v>0.03</v>
      </c>
      <c r="J27" s="232" vm="1949">
        <v>165</v>
      </c>
      <c r="K27" s="212">
        <v>0.03</v>
      </c>
      <c r="L27" s="204">
        <v>108.55263157894737</v>
      </c>
    </row>
    <row r="28" spans="2:21" s="22" customFormat="1" ht="21.05" customHeight="1" x14ac:dyDescent="0.3">
      <c r="B28" s="15" t="s" vm="160">
        <v>240</v>
      </c>
      <c r="C28" s="233" vm="1701">
        <v>101048188.27000003</v>
      </c>
      <c r="D28" s="212">
        <v>17.84</v>
      </c>
      <c r="E28" s="233" vm="806">
        <v>91434986.629999965</v>
      </c>
      <c r="F28" s="212">
        <v>18.09</v>
      </c>
      <c r="G28" s="287">
        <v>90.486517566931866</v>
      </c>
      <c r="H28" s="271" vm="1700">
        <v>17338</v>
      </c>
      <c r="I28" s="212">
        <v>3.72</v>
      </c>
      <c r="J28" s="232" vm="1699">
        <v>14429</v>
      </c>
      <c r="K28" s="212">
        <v>3.04</v>
      </c>
      <c r="L28" s="204">
        <v>83.221824893297963</v>
      </c>
    </row>
    <row r="29" spans="2:21" s="22" customFormat="1" ht="21.05" customHeight="1" x14ac:dyDescent="0.3">
      <c r="B29" s="15" t="s" vm="139">
        <v>241</v>
      </c>
      <c r="C29" s="233" vm="1141">
        <v>70883899.699999973</v>
      </c>
      <c r="D29" s="212">
        <v>12.51</v>
      </c>
      <c r="E29" s="233" vm="1182">
        <v>61754308.149999984</v>
      </c>
      <c r="F29" s="212">
        <v>12.22</v>
      </c>
      <c r="G29" s="287">
        <v>87.120359364201306</v>
      </c>
      <c r="H29" s="271" vm="1401">
        <v>1687</v>
      </c>
      <c r="I29" s="212">
        <v>0.36</v>
      </c>
      <c r="J29" s="232" vm="1930">
        <v>1590</v>
      </c>
      <c r="K29" s="212">
        <v>0.34</v>
      </c>
      <c r="L29" s="204">
        <v>94.250148192056898</v>
      </c>
    </row>
    <row r="30" spans="2:21" s="22" customFormat="1" ht="21.05" customHeight="1" thickBot="1" x14ac:dyDescent="0.35">
      <c r="B30" s="15" t="s" vm="114">
        <v>242</v>
      </c>
      <c r="C30" s="233" vm="796">
        <v>83141261.530000001</v>
      </c>
      <c r="D30" s="212">
        <v>14.68</v>
      </c>
      <c r="E30" s="233" vm="1280">
        <v>58742148.309999995</v>
      </c>
      <c r="F30" s="212">
        <v>11.62</v>
      </c>
      <c r="G30" s="287">
        <v>70.653424339494748</v>
      </c>
      <c r="H30" s="271" vm="1591">
        <v>62530</v>
      </c>
      <c r="I30" s="212">
        <v>13.43</v>
      </c>
      <c r="J30" s="232" vm="1245">
        <v>66409</v>
      </c>
      <c r="K30" s="212">
        <v>14</v>
      </c>
      <c r="L30" s="204">
        <v>106.20342235726852</v>
      </c>
    </row>
    <row r="31" spans="2:21" ht="21.05" customHeight="1" thickBot="1" x14ac:dyDescent="0.35">
      <c r="B31" s="120" t="s" vm="47">
        <v>243</v>
      </c>
      <c r="C31" s="235" vm="1170">
        <v>566397336.58999979</v>
      </c>
      <c r="D31" s="254">
        <v>100</v>
      </c>
      <c r="E31" s="235" vm="1378">
        <v>505394084.68999988</v>
      </c>
      <c r="F31" s="254">
        <v>100</v>
      </c>
      <c r="G31" s="243">
        <v>89.229601207648585</v>
      </c>
      <c r="H31" s="235" vm="1346">
        <v>465554</v>
      </c>
      <c r="I31" s="254">
        <v>100</v>
      </c>
      <c r="J31" s="234" vm="1453">
        <v>474452</v>
      </c>
      <c r="K31" s="254">
        <v>100.00000000000001</v>
      </c>
      <c r="L31" s="243">
        <v>101.91127130257715</v>
      </c>
    </row>
    <row r="32" spans="2:21" s="64" customFormat="1" ht="3.75" customHeight="1" x14ac:dyDescent="0.3">
      <c r="B32" s="78"/>
      <c r="C32" s="16" t="s">
        <v>181</v>
      </c>
      <c r="D32" s="79"/>
      <c r="E32" s="79"/>
      <c r="F32" s="79"/>
      <c r="G32" s="29"/>
      <c r="H32" s="79"/>
      <c r="I32" s="79"/>
      <c r="J32" s="18" t="s">
        <v>181</v>
      </c>
      <c r="K32" s="79"/>
      <c r="L32" s="29"/>
      <c r="M32" s="79"/>
      <c r="N32" s="79"/>
      <c r="O32" s="79"/>
      <c r="P32" s="79"/>
      <c r="Q32" s="63"/>
      <c r="R32" s="63"/>
      <c r="S32" s="63"/>
      <c r="T32" s="63"/>
      <c r="U32" s="63"/>
    </row>
    <row r="33" spans="2:16" ht="23.3" customHeight="1" x14ac:dyDescent="0.3">
      <c r="B33" s="31" t="s">
        <v>64</v>
      </c>
      <c r="C33" s="242">
        <v>1095647347.3799999</v>
      </c>
      <c r="D33" s="20"/>
      <c r="E33" s="242">
        <v>1011836397.5599997</v>
      </c>
      <c r="F33" s="20"/>
      <c r="G33" s="246">
        <v>92.350554216152162</v>
      </c>
      <c r="H33" s="236">
        <v>877493</v>
      </c>
      <c r="I33" s="20"/>
      <c r="J33" s="236">
        <v>878735</v>
      </c>
      <c r="K33" s="20"/>
      <c r="L33" s="246">
        <v>100.14153959062921</v>
      </c>
    </row>
    <row r="34" spans="2:16" x14ac:dyDescent="0.3">
      <c r="B34" s="85"/>
      <c r="C34" s="85"/>
      <c r="D34" s="85"/>
      <c r="E34" s="85"/>
      <c r="F34" s="85"/>
      <c r="G34" s="91"/>
      <c r="H34" s="85"/>
      <c r="I34" s="85"/>
      <c r="J34" s="85"/>
      <c r="K34" s="85"/>
      <c r="L34" s="91"/>
      <c r="M34" s="22"/>
      <c r="N34" s="22"/>
      <c r="O34" s="22"/>
      <c r="P34" s="22"/>
    </row>
    <row r="35" spans="2:16" x14ac:dyDescent="0.3">
      <c r="B35" s="85"/>
      <c r="C35" s="85"/>
      <c r="D35" s="85"/>
      <c r="E35" s="85"/>
      <c r="F35" s="85"/>
      <c r="G35" s="91"/>
      <c r="H35" s="85"/>
      <c r="I35" s="85"/>
      <c r="J35" s="85"/>
      <c r="K35" s="85"/>
      <c r="L35" s="91"/>
      <c r="M35" s="22"/>
      <c r="N35" s="22"/>
      <c r="O35" s="22"/>
      <c r="P35" s="22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39997558519241921"/>
    <pageSetUpPr fitToPage="1"/>
  </sheetPr>
  <dimension ref="A1:Q35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65.59765625" style="8" customWidth="1"/>
    <col min="3" max="4" width="16.69921875" style="8" bestFit="1" customWidth="1"/>
    <col min="5" max="5" width="11.59765625" style="70" bestFit="1" customWidth="1"/>
    <col min="6" max="7" width="13.59765625" style="8" bestFit="1" customWidth="1"/>
    <col min="8" max="8" width="11.59765625" style="70" customWidth="1"/>
    <col min="9" max="16384" width="9.296875" style="8"/>
  </cols>
  <sheetData>
    <row r="1" spans="1:17" s="22" customFormat="1" ht="58.85" customHeight="1" x14ac:dyDescent="0.3">
      <c r="B1" s="360" t="s">
        <v>219</v>
      </c>
      <c r="C1" s="360"/>
      <c r="D1" s="360"/>
      <c r="E1" s="360"/>
      <c r="F1" s="360"/>
      <c r="G1" s="360"/>
      <c r="H1" s="360"/>
    </row>
    <row r="2" spans="1:17" s="22" customFormat="1" ht="13.85" x14ac:dyDescent="0.3">
      <c r="A2" s="123"/>
      <c r="B2" s="97"/>
      <c r="C2" s="97"/>
      <c r="D2" s="97"/>
      <c r="E2" s="97"/>
      <c r="F2" s="97"/>
      <c r="G2" s="97"/>
      <c r="H2" s="97"/>
    </row>
    <row r="3" spans="1:17" ht="21.75" customHeight="1" x14ac:dyDescent="0.3"/>
    <row r="4" spans="1:17" ht="7.5" customHeight="1" thickBot="1" x14ac:dyDescent="0.35"/>
    <row r="5" spans="1:17" s="62" customFormat="1" ht="14.95" customHeight="1" x14ac:dyDescent="0.3">
      <c r="B5" s="356" t="s">
        <v>44</v>
      </c>
      <c r="C5" s="354" t="s">
        <v>66</v>
      </c>
      <c r="D5" s="354"/>
      <c r="E5" s="354"/>
      <c r="F5" s="354" t="s">
        <v>42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8.4499999999999993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21.05" customHeight="1" x14ac:dyDescent="0.3">
      <c r="B8" s="15" t="s" vm="165">
        <v>220</v>
      </c>
      <c r="C8" s="232" vm="1776">
        <v>883957.59999999986</v>
      </c>
      <c r="D8" s="233" vm="1775">
        <v>171762.46</v>
      </c>
      <c r="E8" s="287">
        <v>19.431074522126401</v>
      </c>
      <c r="F8" s="271" vm="1777">
        <v>30</v>
      </c>
      <c r="G8" s="232" vm="1452">
        <v>41</v>
      </c>
      <c r="H8" s="204">
        <v>136.66666666666666</v>
      </c>
    </row>
    <row r="9" spans="1:17" s="22" customFormat="1" ht="21.05" customHeight="1" x14ac:dyDescent="0.3">
      <c r="B9" s="15" t="s" vm="142">
        <v>221</v>
      </c>
      <c r="C9" s="232" vm="1687">
        <v>155920.86999999997</v>
      </c>
      <c r="D9" s="233" vm="1446">
        <v>20762.82</v>
      </c>
      <c r="E9" s="287">
        <v>13.316254584777527</v>
      </c>
      <c r="F9" s="271" vm="1215">
        <v>12</v>
      </c>
      <c r="G9" s="232" vm="1036">
        <v>2</v>
      </c>
      <c r="H9" s="204">
        <v>16.666666666666664</v>
      </c>
    </row>
    <row r="10" spans="1:17" s="22" customFormat="1" ht="21.05" customHeight="1" x14ac:dyDescent="0.3">
      <c r="B10" s="15" t="s" vm="119">
        <v>222</v>
      </c>
      <c r="C10" s="232" vm="1736">
        <v>2983238.2099999995</v>
      </c>
      <c r="D10" s="233" vm="1737">
        <v>4104772.1500000004</v>
      </c>
      <c r="E10" s="287">
        <v>137.59451512254535</v>
      </c>
      <c r="F10" s="271" vm="1177">
        <v>445</v>
      </c>
      <c r="G10" s="232" vm="1735">
        <v>566</v>
      </c>
      <c r="H10" s="204">
        <v>127.19101123595506</v>
      </c>
    </row>
    <row r="11" spans="1:17" s="22" customFormat="1" ht="21.05" customHeight="1" x14ac:dyDescent="0.3">
      <c r="B11" s="15" t="s" vm="95">
        <v>223</v>
      </c>
      <c r="C11" s="232" vm="1617">
        <v>0</v>
      </c>
      <c r="D11" s="233" vm="1512">
        <v>0</v>
      </c>
      <c r="E11" s="287" t="s">
        <v>127</v>
      </c>
      <c r="F11" s="271" vm="1321">
        <v>0</v>
      </c>
      <c r="G11" s="232" vm="1506">
        <v>0</v>
      </c>
      <c r="H11" s="204" t="s">
        <v>127</v>
      </c>
    </row>
    <row r="12" spans="1:17" s="64" customFormat="1" ht="21.05" customHeight="1" thickBot="1" x14ac:dyDescent="0.35">
      <c r="B12" s="15" t="s" vm="164">
        <v>224</v>
      </c>
      <c r="C12" s="232" vm="1623">
        <v>4522132.6400000006</v>
      </c>
      <c r="D12" s="233" vm="1397">
        <v>4210825.78</v>
      </c>
      <c r="E12" s="287">
        <v>93.115928151988044</v>
      </c>
      <c r="F12" s="271" vm="1220">
        <v>2380</v>
      </c>
      <c r="G12" s="232" vm="1944">
        <v>2399</v>
      </c>
      <c r="H12" s="204">
        <v>100.79831932773109</v>
      </c>
      <c r="I12" s="79"/>
      <c r="J12" s="79"/>
      <c r="K12" s="79"/>
      <c r="L12" s="79"/>
      <c r="M12" s="63"/>
      <c r="N12" s="63"/>
      <c r="O12" s="63"/>
      <c r="P12" s="63"/>
      <c r="Q12" s="63"/>
    </row>
    <row r="13" spans="1:17" ht="21.05" customHeight="1" thickBot="1" x14ac:dyDescent="0.35">
      <c r="B13" s="120" t="s" vm="35">
        <v>225</v>
      </c>
      <c r="C13" s="234" vm="1668">
        <v>8545249.3200000003</v>
      </c>
      <c r="D13" s="235" vm="1318">
        <v>8508123.2100000009</v>
      </c>
      <c r="E13" s="243">
        <v>99.565535087278192</v>
      </c>
      <c r="F13" s="235" vm="1124">
        <v>2867</v>
      </c>
      <c r="G13" s="234" vm="990">
        <v>3008</v>
      </c>
      <c r="H13" s="243">
        <v>104.91803278688525</v>
      </c>
    </row>
    <row r="14" spans="1:17" s="22" customFormat="1" ht="26.6" x14ac:dyDescent="0.3">
      <c r="B14" s="15" t="s" vm="118">
        <v>226</v>
      </c>
      <c r="C14" s="232" vm="1626">
        <v>96531787.89000003</v>
      </c>
      <c r="D14" s="233" vm="1306">
        <v>112127982.20000002</v>
      </c>
      <c r="E14" s="287">
        <v>116.15653729295077</v>
      </c>
      <c r="F14" s="271" vm="1492">
        <v>16888</v>
      </c>
      <c r="G14" s="232" vm="1144">
        <v>20555</v>
      </c>
      <c r="H14" s="204">
        <v>121.7136428233065</v>
      </c>
    </row>
    <row r="15" spans="1:17" s="22" customFormat="1" ht="21.05" customHeight="1" x14ac:dyDescent="0.3">
      <c r="B15" s="15" t="s" vm="94">
        <v>227</v>
      </c>
      <c r="C15" s="232" vm="1118">
        <v>95002777.799999997</v>
      </c>
      <c r="D15" s="233" vm="1139">
        <v>71129545.729999989</v>
      </c>
      <c r="E15" s="287">
        <v>74.871016803047624</v>
      </c>
      <c r="F15" s="271" vm="1132">
        <v>1270</v>
      </c>
      <c r="G15" s="232" vm="1030">
        <v>1465</v>
      </c>
      <c r="H15" s="204">
        <v>115.35433070866141</v>
      </c>
    </row>
    <row r="16" spans="1:17" ht="21.05" customHeight="1" thickBot="1" x14ac:dyDescent="0.35">
      <c r="B16" s="15" t="s" vm="163">
        <v>228</v>
      </c>
      <c r="C16" s="232" vm="753">
        <v>8179167.8899999987</v>
      </c>
      <c r="D16" s="233" vm="1326">
        <v>6213822.919999999</v>
      </c>
      <c r="E16" s="287">
        <v>75.971333558235585</v>
      </c>
      <c r="F16" s="271" vm="1675">
        <v>1309</v>
      </c>
      <c r="G16" s="232" vm="742">
        <v>1183</v>
      </c>
      <c r="H16" s="204">
        <v>90.37433155080214</v>
      </c>
    </row>
    <row r="17" spans="2:17" ht="21.05" customHeight="1" thickBot="1" x14ac:dyDescent="0.35">
      <c r="B17" s="120" t="s" vm="50">
        <v>229</v>
      </c>
      <c r="C17" s="234" vm="1829">
        <v>199713733.57999986</v>
      </c>
      <c r="D17" s="235" vm="1831">
        <v>189471350.8499999</v>
      </c>
      <c r="E17" s="243">
        <v>94.871468002526157</v>
      </c>
      <c r="F17" s="235" vm="1828">
        <v>19467</v>
      </c>
      <c r="G17" s="234" vm="1830">
        <v>23203</v>
      </c>
      <c r="H17" s="243">
        <v>119.19145220116094</v>
      </c>
    </row>
    <row r="18" spans="2:17" ht="21.05" customHeight="1" x14ac:dyDescent="0.3">
      <c r="B18" s="15" t="s" vm="117">
        <v>230</v>
      </c>
      <c r="C18" s="232" vm="1901">
        <v>96593091.64000003</v>
      </c>
      <c r="D18" s="233" vm="1902">
        <v>80272458.989999995</v>
      </c>
      <c r="E18" s="287">
        <v>83.103726806026032</v>
      </c>
      <c r="F18" s="271" vm="1916">
        <v>19013</v>
      </c>
      <c r="G18" s="232" vm="1900">
        <v>18932</v>
      </c>
      <c r="H18" s="204">
        <v>99.573975700836272</v>
      </c>
    </row>
    <row r="19" spans="2:17" ht="21.05" customHeight="1" x14ac:dyDescent="0.3">
      <c r="B19" s="15" t="s" vm="93">
        <v>231</v>
      </c>
      <c r="C19" s="232" vm="1523">
        <v>25947163.989999998</v>
      </c>
      <c r="D19" s="233" vm="1516">
        <v>21450023.32</v>
      </c>
      <c r="E19" s="287">
        <v>82.668083988935408</v>
      </c>
      <c r="F19" s="271" vm="1342">
        <v>2719</v>
      </c>
      <c r="G19" s="232" vm="938">
        <v>2451</v>
      </c>
      <c r="H19" s="204">
        <v>90.143435086428838</v>
      </c>
    </row>
    <row r="20" spans="2:17" ht="21.05" customHeight="1" x14ac:dyDescent="0.3">
      <c r="B20" s="15" t="s" vm="162">
        <v>232</v>
      </c>
      <c r="C20" s="232" vm="1327">
        <v>6206190.1799999997</v>
      </c>
      <c r="D20" s="233" vm="1481">
        <v>5705525.0199999996</v>
      </c>
      <c r="E20" s="287">
        <v>91.932809896586193</v>
      </c>
      <c r="F20" s="271" vm="1049">
        <v>3534</v>
      </c>
      <c r="G20" s="232" vm="1521">
        <v>3366</v>
      </c>
      <c r="H20" s="204">
        <v>95.246179966044139</v>
      </c>
    </row>
    <row r="21" spans="2:17" s="22" customFormat="1" ht="21.05" customHeight="1" x14ac:dyDescent="0.3">
      <c r="B21" s="15" t="s" vm="141">
        <v>233</v>
      </c>
      <c r="C21" s="232" vm="1474">
        <v>21248425.109999999</v>
      </c>
      <c r="D21" s="233" vm="958">
        <v>27061475.840000004</v>
      </c>
      <c r="E21" s="287">
        <v>127.35756038344812</v>
      </c>
      <c r="F21" s="271" vm="1309">
        <v>8520</v>
      </c>
      <c r="G21" s="232" vm="1918">
        <v>8721</v>
      </c>
      <c r="H21" s="204">
        <v>102.35915492957746</v>
      </c>
    </row>
    <row r="22" spans="2:17" s="22" customFormat="1" ht="21.05" customHeight="1" x14ac:dyDescent="0.3">
      <c r="B22" s="15" t="s" vm="116">
        <v>234</v>
      </c>
      <c r="C22" s="232" vm="1694">
        <v>18491492.369999997</v>
      </c>
      <c r="D22" s="233" vm="1695">
        <v>8101261.129999999</v>
      </c>
      <c r="E22" s="287">
        <v>43.810748034286426</v>
      </c>
      <c r="F22" s="271" vm="1696">
        <v>457</v>
      </c>
      <c r="G22" s="232" vm="1693">
        <v>428</v>
      </c>
      <c r="H22" s="204">
        <v>93.6542669584245</v>
      </c>
    </row>
    <row r="23" spans="2:17" s="22" customFormat="1" ht="21.05" customHeight="1" x14ac:dyDescent="0.3">
      <c r="B23" s="15" t="s" vm="92">
        <v>235</v>
      </c>
      <c r="C23" s="232" vm="1352">
        <v>4359419.16</v>
      </c>
      <c r="D23" s="233" vm="932">
        <v>8309989.4300000006</v>
      </c>
      <c r="E23" s="287">
        <v>190.62148247290816</v>
      </c>
      <c r="F23" s="271" vm="1646">
        <v>67</v>
      </c>
      <c r="G23" s="232" vm="1255">
        <v>37</v>
      </c>
      <c r="H23" s="204">
        <v>55.223880597014926</v>
      </c>
    </row>
    <row r="24" spans="2:17" s="22" customFormat="1" ht="21.05" customHeight="1" x14ac:dyDescent="0.3">
      <c r="B24" s="15" t="s" vm="161">
        <v>236</v>
      </c>
      <c r="C24" s="232" vm="1017">
        <v>11430.72</v>
      </c>
      <c r="D24" s="233" vm="1158">
        <v>73669.19</v>
      </c>
      <c r="E24" s="287">
        <v>644.4842494611014</v>
      </c>
      <c r="F24" s="271" vm="1048">
        <v>4</v>
      </c>
      <c r="G24" s="232" vm="1465">
        <v>12</v>
      </c>
      <c r="H24" s="204">
        <v>300</v>
      </c>
    </row>
    <row r="25" spans="2:17" s="22" customFormat="1" ht="21.05" customHeight="1" x14ac:dyDescent="0.3">
      <c r="B25" s="15" t="s" vm="140">
        <v>237</v>
      </c>
      <c r="C25" s="232" vm="991">
        <v>0</v>
      </c>
      <c r="D25" s="233" vm="1098">
        <v>0</v>
      </c>
      <c r="E25" s="287" t="s">
        <v>127</v>
      </c>
      <c r="F25" s="271" vm="1587">
        <v>0</v>
      </c>
      <c r="G25" s="232" vm="1460">
        <v>0</v>
      </c>
      <c r="H25" s="204" t="s">
        <v>127</v>
      </c>
    </row>
    <row r="26" spans="2:17" s="22" customFormat="1" ht="21.05" customHeight="1" x14ac:dyDescent="0.3">
      <c r="B26" s="15" t="s" vm="115">
        <v>238</v>
      </c>
      <c r="C26" s="232" vm="1387">
        <v>1282606.1000000001</v>
      </c>
      <c r="D26" s="233" vm="1358">
        <v>770172.69000000006</v>
      </c>
      <c r="E26" s="287">
        <v>60.047483791009569</v>
      </c>
      <c r="F26" s="271" vm="1189">
        <v>244</v>
      </c>
      <c r="G26" s="232" vm="749">
        <v>310</v>
      </c>
      <c r="H26" s="204">
        <v>127.04918032786885</v>
      </c>
    </row>
    <row r="27" spans="2:17" s="22" customFormat="1" ht="21.05" customHeight="1" x14ac:dyDescent="0.3">
      <c r="B27" s="15" t="s" vm="91">
        <v>239</v>
      </c>
      <c r="C27" s="232" vm="1272">
        <v>1539592.3500000003</v>
      </c>
      <c r="D27" s="233" vm="1650">
        <v>4122497.4699999993</v>
      </c>
      <c r="E27" s="287">
        <v>267.76552052885938</v>
      </c>
      <c r="F27" s="271" vm="1432">
        <v>53</v>
      </c>
      <c r="G27" s="232" vm="1537">
        <v>62</v>
      </c>
      <c r="H27" s="204">
        <v>116.98113207547169</v>
      </c>
    </row>
    <row r="28" spans="2:17" s="22" customFormat="1" ht="21.05" customHeight="1" x14ac:dyDescent="0.3">
      <c r="B28" s="15" t="s" vm="160">
        <v>240</v>
      </c>
      <c r="C28" s="232" vm="1094">
        <v>50643879.149999991</v>
      </c>
      <c r="D28" s="233" vm="1060">
        <v>34906253.470000006</v>
      </c>
      <c r="E28" s="287">
        <v>68.924920554787349</v>
      </c>
      <c r="F28" s="271" vm="1659">
        <v>1795</v>
      </c>
      <c r="G28" s="232" vm="1415">
        <v>1199</v>
      </c>
      <c r="H28" s="204">
        <v>66.796657381615603</v>
      </c>
    </row>
    <row r="29" spans="2:17" s="22" customFormat="1" ht="21.05" customHeight="1" x14ac:dyDescent="0.3">
      <c r="B29" s="15" t="s" vm="139">
        <v>241</v>
      </c>
      <c r="C29" s="232" vm="1595">
        <v>50676376.059999995</v>
      </c>
      <c r="D29" s="233" vm="1457">
        <v>55494956.099999994</v>
      </c>
      <c r="E29" s="287">
        <v>109.5085331956154</v>
      </c>
      <c r="F29" s="271" vm="1627">
        <v>12215</v>
      </c>
      <c r="G29" s="232" vm="1496">
        <v>11652</v>
      </c>
      <c r="H29" s="204">
        <v>95.390912812116241</v>
      </c>
    </row>
    <row r="30" spans="2:17" s="22" customFormat="1" ht="21.05" customHeight="1" thickBot="1" x14ac:dyDescent="0.35">
      <c r="B30" s="15" t="s" vm="114">
        <v>242</v>
      </c>
      <c r="C30" s="232" vm="895">
        <v>47308462.600000016</v>
      </c>
      <c r="D30" s="233" vm="1065">
        <v>34615009.920000009</v>
      </c>
      <c r="E30" s="287">
        <v>73.168748290712784</v>
      </c>
      <c r="F30" s="271" vm="834">
        <v>9942</v>
      </c>
      <c r="G30" s="232" vm="1676">
        <v>9014</v>
      </c>
      <c r="H30" s="204">
        <v>90.665861999597666</v>
      </c>
    </row>
    <row r="31" spans="2:17" ht="21.05" customHeight="1" thickBot="1" x14ac:dyDescent="0.35">
      <c r="B31" s="120" t="s" vm="47">
        <v>243</v>
      </c>
      <c r="C31" s="234" vm="1593">
        <v>324308129.42999995</v>
      </c>
      <c r="D31" s="235" vm="1135">
        <v>280883292.57000017</v>
      </c>
      <c r="E31" s="243">
        <v>86.6100066821258</v>
      </c>
      <c r="F31" s="235" vm="798">
        <v>58563</v>
      </c>
      <c r="G31" s="234" vm="1214">
        <v>56184</v>
      </c>
      <c r="H31" s="243">
        <v>95.93770810921572</v>
      </c>
    </row>
    <row r="32" spans="2:17" s="64" customFormat="1" ht="3.75" customHeight="1" x14ac:dyDescent="0.3">
      <c r="B32" s="78"/>
      <c r="C32" s="16" t="s">
        <v>181</v>
      </c>
      <c r="D32" s="79"/>
      <c r="E32" s="204"/>
      <c r="F32" s="79"/>
      <c r="G32" s="18" t="s">
        <v>181</v>
      </c>
      <c r="H32" s="204"/>
      <c r="I32" s="79"/>
      <c r="J32" s="79"/>
      <c r="K32" s="79"/>
      <c r="L32" s="79"/>
      <c r="M32" s="63"/>
      <c r="N32" s="63"/>
      <c r="O32" s="63"/>
      <c r="P32" s="63"/>
      <c r="Q32" s="63"/>
    </row>
    <row r="33" spans="2:12" ht="23.3" customHeight="1" x14ac:dyDescent="0.3">
      <c r="B33" s="31" t="s">
        <v>64</v>
      </c>
      <c r="C33" s="242">
        <v>532567112.3299998</v>
      </c>
      <c r="D33" s="242">
        <v>478862766.63000011</v>
      </c>
      <c r="E33" s="246">
        <v>89.915947782610658</v>
      </c>
      <c r="F33" s="236">
        <v>80897</v>
      </c>
      <c r="G33" s="236">
        <v>82395</v>
      </c>
      <c r="H33" s="246">
        <v>101.85173739446456</v>
      </c>
    </row>
    <row r="34" spans="2:12" x14ac:dyDescent="0.3">
      <c r="B34" s="85"/>
      <c r="C34" s="85"/>
      <c r="D34" s="85"/>
      <c r="E34" s="91"/>
      <c r="F34" s="85"/>
      <c r="G34" s="85"/>
      <c r="H34" s="91"/>
      <c r="I34" s="22"/>
      <c r="J34" s="22"/>
      <c r="K34" s="22"/>
      <c r="L34" s="22"/>
    </row>
    <row r="35" spans="2:12" x14ac:dyDescent="0.3">
      <c r="B35" s="85"/>
      <c r="C35" s="85"/>
      <c r="D35" s="85"/>
      <c r="E35" s="91"/>
      <c r="F35" s="85"/>
      <c r="G35" s="85"/>
      <c r="H35" s="91"/>
      <c r="I35" s="22"/>
      <c r="J35" s="22"/>
      <c r="K35" s="22"/>
      <c r="L35" s="22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39997558519241921"/>
    <pageSetUpPr fitToPage="1"/>
  </sheetPr>
  <dimension ref="A1:U29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8.59765625" style="8" bestFit="1" customWidth="1"/>
    <col min="4" max="4" width="11.296875" style="8" bestFit="1" customWidth="1"/>
    <col min="5" max="5" width="18.59765625" style="8" bestFit="1" customWidth="1"/>
    <col min="6" max="6" width="11.296875" style="8" bestFit="1" customWidth="1"/>
    <col min="7" max="7" width="11.69921875" style="70" bestFit="1" customWidth="1"/>
    <col min="8" max="8" width="14.69921875" style="8" bestFit="1" customWidth="1"/>
    <col min="9" max="9" width="12.296875" style="8" bestFit="1" customWidth="1"/>
    <col min="10" max="10" width="14.69921875" style="8" bestFit="1" customWidth="1"/>
    <col min="11" max="11" width="12.296875" style="8" bestFit="1" customWidth="1"/>
    <col min="12" max="12" width="11.59765625" style="70" customWidth="1"/>
    <col min="13" max="16384" width="9.296875" style="8"/>
  </cols>
  <sheetData>
    <row r="1" spans="1:21" s="22" customFormat="1" ht="58.85" customHeight="1" x14ac:dyDescent="0.3">
      <c r="A1" s="360" t="s">
        <v>204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21" s="22" customFormat="1" ht="13.15" x14ac:dyDescent="0.3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21" ht="21.75" customHeight="1" x14ac:dyDescent="0.35"/>
    <row r="4" spans="1:21" ht="7.5" customHeight="1" thickBot="1" x14ac:dyDescent="0.4"/>
    <row r="5" spans="1:21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21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21" s="64" customFormat="1" ht="8.4499999999999993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21" s="22" customFormat="1" ht="37.549999999999997" customHeight="1" x14ac:dyDescent="0.3">
      <c r="B8" s="15" t="s" vm="159">
        <v>206</v>
      </c>
      <c r="C8" s="232" vm="1032">
        <v>2260200162.9000001</v>
      </c>
      <c r="D8" s="276">
        <v>99.13</v>
      </c>
      <c r="E8" s="233" vm="1096">
        <v>1844505139.0899999</v>
      </c>
      <c r="F8" s="212">
        <v>97.1</v>
      </c>
      <c r="G8" s="287">
        <v>81.608043808092049</v>
      </c>
      <c r="H8" s="271" vm="1029">
        <v>1507429</v>
      </c>
      <c r="I8" s="212">
        <v>97.15</v>
      </c>
      <c r="J8" s="233" vm="1383">
        <v>1527786</v>
      </c>
      <c r="K8" s="212">
        <v>83.88</v>
      </c>
      <c r="L8" s="204">
        <v>101.35044502925179</v>
      </c>
    </row>
    <row r="9" spans="1:21" s="22" customFormat="1" ht="37.549999999999997" customHeight="1" x14ac:dyDescent="0.3">
      <c r="B9" s="15" t="s" vm="138">
        <v>207</v>
      </c>
      <c r="C9" s="232" vm="945">
        <v>4049315.1899999995</v>
      </c>
      <c r="D9" s="276">
        <v>0.17</v>
      </c>
      <c r="E9" s="233" vm="1110">
        <v>38226994.310000002</v>
      </c>
      <c r="F9" s="212">
        <v>2.0099999999999998</v>
      </c>
      <c r="G9" s="287">
        <v>944.03602871921669</v>
      </c>
      <c r="H9" s="271" vm="879">
        <v>36996</v>
      </c>
      <c r="I9" s="212">
        <v>2.38</v>
      </c>
      <c r="J9" s="233" vm="886">
        <v>275178</v>
      </c>
      <c r="K9" s="212">
        <v>15.11</v>
      </c>
      <c r="L9" s="204">
        <v>743.804735647097</v>
      </c>
    </row>
    <row r="10" spans="1:21" s="22" customFormat="1" ht="37.549999999999997" customHeight="1" x14ac:dyDescent="0.3">
      <c r="B10" s="15" t="s" vm="113">
        <v>208</v>
      </c>
      <c r="C10" s="232" vm="1495">
        <v>14514105.979999997</v>
      </c>
      <c r="D10" s="276">
        <v>0.64</v>
      </c>
      <c r="E10" s="233" vm="1528">
        <v>14943448.68</v>
      </c>
      <c r="F10" s="212">
        <v>0.79</v>
      </c>
      <c r="G10" s="287">
        <v>102.95810641448826</v>
      </c>
      <c r="H10" s="271" vm="1413">
        <v>1991</v>
      </c>
      <c r="I10" s="212">
        <v>0.13</v>
      </c>
      <c r="J10" s="233" vm="1375">
        <v>2129</v>
      </c>
      <c r="K10" s="212">
        <v>0.12</v>
      </c>
      <c r="L10" s="204">
        <v>106.93119035660472</v>
      </c>
    </row>
    <row r="11" spans="1:21" s="22" customFormat="1" ht="35.450000000000003" customHeight="1" x14ac:dyDescent="0.3">
      <c r="B11" s="15" t="s" vm="90">
        <v>209</v>
      </c>
      <c r="C11" s="232" vm="1228">
        <v>1256592.1600000001</v>
      </c>
      <c r="D11" s="276">
        <v>0.06</v>
      </c>
      <c r="E11" s="233" vm="1111">
        <v>1825412.5500000003</v>
      </c>
      <c r="F11" s="212">
        <v>0.1</v>
      </c>
      <c r="G11" s="287">
        <v>145.26690585113948</v>
      </c>
      <c r="H11" s="271" vm="1269">
        <v>5177</v>
      </c>
      <c r="I11" s="212">
        <v>0.33</v>
      </c>
      <c r="J11" s="233" vm="1429">
        <v>16380</v>
      </c>
      <c r="K11" s="212">
        <v>0.9</v>
      </c>
      <c r="L11" s="204">
        <v>316.39945914622365</v>
      </c>
    </row>
    <row r="12" spans="1:21" s="64" customFormat="1" ht="3.05" customHeight="1" thickBot="1" x14ac:dyDescent="0.35">
      <c r="B12" s="78"/>
      <c r="C12" s="232"/>
      <c r="D12" s="280"/>
      <c r="E12" s="233"/>
      <c r="F12" s="79"/>
      <c r="G12" s="299"/>
      <c r="H12" s="271"/>
      <c r="I12" s="79"/>
      <c r="J12" s="233"/>
      <c r="K12" s="79"/>
      <c r="L12" s="204"/>
      <c r="M12" s="79"/>
      <c r="N12" s="79"/>
      <c r="O12" s="79"/>
      <c r="P12" s="79"/>
      <c r="Q12" s="63"/>
      <c r="R12" s="63"/>
      <c r="S12" s="63"/>
      <c r="T12" s="63"/>
      <c r="U12" s="63"/>
    </row>
    <row r="13" spans="1:21" ht="37.549999999999997" customHeight="1" thickBot="1" x14ac:dyDescent="0.35">
      <c r="B13" s="120" t="s" vm="43">
        <v>210</v>
      </c>
      <c r="C13" s="234" vm="927">
        <v>2280020176.2299995</v>
      </c>
      <c r="D13" s="274">
        <v>100</v>
      </c>
      <c r="E13" s="235" vm="1243">
        <v>1899500994.6300001</v>
      </c>
      <c r="F13" s="274">
        <v>100</v>
      </c>
      <c r="G13" s="243">
        <v>83.310709897787589</v>
      </c>
      <c r="H13" s="235" vm="1125">
        <v>1551593</v>
      </c>
      <c r="I13" s="274">
        <v>99.99</v>
      </c>
      <c r="J13" s="235" vm="885">
        <v>1821473</v>
      </c>
      <c r="K13" s="274">
        <v>100.01</v>
      </c>
      <c r="L13" s="243">
        <v>117.39373663067569</v>
      </c>
    </row>
    <row r="14" spans="1:21" s="64" customFormat="1" ht="3.05" customHeight="1" x14ac:dyDescent="0.3">
      <c r="B14" s="78"/>
      <c r="C14" s="232"/>
      <c r="D14" s="280"/>
      <c r="E14" s="233"/>
      <c r="F14" s="280"/>
      <c r="G14" s="299"/>
      <c r="H14" s="271"/>
      <c r="I14" s="280"/>
      <c r="J14" s="233"/>
      <c r="K14" s="280"/>
      <c r="L14" s="204"/>
      <c r="M14" s="79"/>
      <c r="N14" s="79"/>
      <c r="O14" s="79"/>
      <c r="P14" s="79"/>
      <c r="Q14" s="63"/>
      <c r="R14" s="63"/>
      <c r="S14" s="63"/>
      <c r="T14" s="63"/>
      <c r="U14" s="63"/>
    </row>
    <row r="15" spans="1:21" s="22" customFormat="1" ht="35.450000000000003" customHeight="1" x14ac:dyDescent="0.3">
      <c r="B15" s="15" t="s" vm="137">
        <v>211</v>
      </c>
      <c r="C15" s="232" vm="1629">
        <v>1118905.6300000001</v>
      </c>
      <c r="D15" s="276">
        <v>20.49</v>
      </c>
      <c r="E15" s="233" vm="1024">
        <v>1170090.6599999999</v>
      </c>
      <c r="F15" s="276">
        <v>31.72</v>
      </c>
      <c r="G15" s="287">
        <v>104.57456184218144</v>
      </c>
      <c r="H15" s="271" vm="1267">
        <v>157</v>
      </c>
      <c r="I15" s="276">
        <v>93.45</v>
      </c>
      <c r="J15" s="233" vm="1550">
        <v>170</v>
      </c>
      <c r="K15" s="276">
        <v>94.44</v>
      </c>
      <c r="L15" s="204">
        <v>108.28025477707006</v>
      </c>
    </row>
    <row r="16" spans="1:21" s="22" customFormat="1" ht="35.450000000000003" customHeight="1" x14ac:dyDescent="0.3">
      <c r="B16" s="15" t="s" vm="112">
        <v>212</v>
      </c>
      <c r="C16" s="232" vm="1199">
        <v>4341046.5299999993</v>
      </c>
      <c r="D16" s="276">
        <v>79.510000000000005</v>
      </c>
      <c r="E16" s="233" vm="802">
        <v>2519257.66</v>
      </c>
      <c r="F16" s="276">
        <v>68.28</v>
      </c>
      <c r="G16" s="287">
        <v>58.033417577765533</v>
      </c>
      <c r="H16" s="271" vm="1597">
        <v>11</v>
      </c>
      <c r="I16" s="276">
        <v>6.55</v>
      </c>
      <c r="J16" s="233" vm="900">
        <v>10</v>
      </c>
      <c r="K16" s="276">
        <v>5.56</v>
      </c>
      <c r="L16" s="204">
        <v>90.909090909090907</v>
      </c>
    </row>
    <row r="17" spans="2:21" ht="3.75" customHeight="1" thickBot="1" x14ac:dyDescent="0.35">
      <c r="B17" s="32"/>
      <c r="C17" s="232"/>
      <c r="D17" s="276"/>
      <c r="E17" s="233"/>
      <c r="F17" s="298"/>
      <c r="G17" s="287"/>
      <c r="H17" s="271"/>
      <c r="I17" s="298"/>
      <c r="J17" s="233"/>
      <c r="K17" s="298"/>
      <c r="L17" s="204"/>
    </row>
    <row r="18" spans="2:21" ht="37.549999999999997" customHeight="1" thickBot="1" x14ac:dyDescent="0.35">
      <c r="B18" s="120" t="s" vm="34">
        <v>213</v>
      </c>
      <c r="C18" s="234" vm="1958">
        <v>5459952.1599999992</v>
      </c>
      <c r="D18" s="274">
        <v>100</v>
      </c>
      <c r="E18" s="235" vm="1011">
        <v>3689348.3200000003</v>
      </c>
      <c r="F18" s="274">
        <v>100</v>
      </c>
      <c r="G18" s="243">
        <v>67.571074102598018</v>
      </c>
      <c r="H18" s="235" vm="840">
        <v>168</v>
      </c>
      <c r="I18" s="274">
        <v>100</v>
      </c>
      <c r="J18" s="235" vm="1590">
        <v>180</v>
      </c>
      <c r="K18" s="274">
        <v>100</v>
      </c>
      <c r="L18" s="243">
        <v>107.14285714285714</v>
      </c>
    </row>
    <row r="19" spans="2:21" ht="4.8499999999999996" customHeight="1" x14ac:dyDescent="0.3">
      <c r="B19" s="37"/>
      <c r="C19" s="232"/>
      <c r="D19" s="275"/>
      <c r="E19" s="233"/>
      <c r="F19" s="275"/>
      <c r="G19" s="287"/>
      <c r="H19" s="271"/>
      <c r="I19" s="275"/>
      <c r="J19" s="233"/>
      <c r="K19" s="275"/>
      <c r="L19" s="204"/>
    </row>
    <row r="20" spans="2:21" ht="38.25" customHeight="1" x14ac:dyDescent="0.3">
      <c r="B20" s="15" t="s" vm="158">
        <v>214</v>
      </c>
      <c r="C20" s="232" vm="1268">
        <v>23067078.300000001</v>
      </c>
      <c r="D20" s="276">
        <v>63.65</v>
      </c>
      <c r="E20" s="233" vm="1554">
        <v>24916788.790000003</v>
      </c>
      <c r="F20" s="276">
        <v>64.64</v>
      </c>
      <c r="G20" s="287">
        <v>108.01883301362878</v>
      </c>
      <c r="H20" s="271" vm="1596">
        <v>4548</v>
      </c>
      <c r="I20" s="276">
        <v>13.71</v>
      </c>
      <c r="J20" s="233" vm="1605">
        <v>5143</v>
      </c>
      <c r="K20" s="276">
        <v>14.93</v>
      </c>
      <c r="L20" s="204">
        <v>113.08267370272647</v>
      </c>
    </row>
    <row r="21" spans="2:21" ht="37.549999999999997" customHeight="1" x14ac:dyDescent="0.3">
      <c r="B21" s="15" t="s" vm="136">
        <v>215</v>
      </c>
      <c r="C21" s="232" vm="1655">
        <v>81918.570000000022</v>
      </c>
      <c r="D21" s="276">
        <v>0.23</v>
      </c>
      <c r="E21" s="233" vm="787">
        <v>300320.90999999992</v>
      </c>
      <c r="F21" s="276">
        <v>0.78</v>
      </c>
      <c r="G21" s="287">
        <v>366.60907288786882</v>
      </c>
      <c r="H21" s="271" vm="1619">
        <v>27</v>
      </c>
      <c r="I21" s="276">
        <v>0.08</v>
      </c>
      <c r="J21" s="233" vm="962">
        <v>79</v>
      </c>
      <c r="K21" s="276">
        <v>0.23</v>
      </c>
      <c r="L21" s="204">
        <v>292.59259259259261</v>
      </c>
    </row>
    <row r="22" spans="2:21" ht="36" customHeight="1" x14ac:dyDescent="0.3">
      <c r="B22" s="15" t="s" vm="111">
        <v>216</v>
      </c>
      <c r="C22" s="232" vm="799">
        <v>11215073.23</v>
      </c>
      <c r="D22" s="276">
        <v>30.95</v>
      </c>
      <c r="E22" s="233" vm="705">
        <v>11488589.050000001</v>
      </c>
      <c r="F22" s="276">
        <v>29.8</v>
      </c>
      <c r="G22" s="287">
        <v>102.43882330851264</v>
      </c>
      <c r="H22" s="271" vm="702">
        <v>25968</v>
      </c>
      <c r="I22" s="276">
        <v>78.290000000000006</v>
      </c>
      <c r="J22" s="233" vm="887">
        <v>26497</v>
      </c>
      <c r="K22" s="276">
        <v>76.930000000000007</v>
      </c>
      <c r="L22" s="204">
        <v>102.03712261244608</v>
      </c>
    </row>
    <row r="23" spans="2:21" s="22" customFormat="1" ht="31.85" customHeight="1" x14ac:dyDescent="0.3">
      <c r="B23" s="15" t="s" vm="89">
        <v>217</v>
      </c>
      <c r="C23" s="232" vm="1569">
        <v>1872224.1199999999</v>
      </c>
      <c r="D23" s="276">
        <v>5.17</v>
      </c>
      <c r="E23" s="233" vm="1252">
        <v>1844317.4899999998</v>
      </c>
      <c r="F23" s="276">
        <v>4.78</v>
      </c>
      <c r="G23" s="287">
        <v>98.509439671143639</v>
      </c>
      <c r="H23" s="271" vm="892">
        <v>2626</v>
      </c>
      <c r="I23" s="276">
        <v>7.92</v>
      </c>
      <c r="J23" s="233" vm="1312">
        <v>2723</v>
      </c>
      <c r="K23" s="276">
        <v>7.91</v>
      </c>
      <c r="L23" s="204">
        <v>103.69383092155368</v>
      </c>
    </row>
    <row r="24" spans="2:21" s="64" customFormat="1" ht="3.75" customHeight="1" thickBot="1" x14ac:dyDescent="0.35">
      <c r="C24" s="232"/>
      <c r="D24" s="276"/>
      <c r="E24" s="233"/>
      <c r="F24" s="276"/>
      <c r="G24" s="287"/>
      <c r="H24" s="271"/>
      <c r="I24" s="276"/>
      <c r="J24" s="233"/>
      <c r="K24" s="276"/>
      <c r="L24" s="204"/>
      <c r="M24" s="79"/>
      <c r="N24" s="79"/>
      <c r="O24" s="79"/>
      <c r="P24" s="79"/>
      <c r="Q24" s="63"/>
      <c r="R24" s="63"/>
      <c r="S24" s="63"/>
      <c r="T24" s="63"/>
      <c r="U24" s="63"/>
    </row>
    <row r="25" spans="2:21" ht="37.549999999999997" customHeight="1" thickBot="1" x14ac:dyDescent="0.35">
      <c r="B25" s="120" t="s" vm="39">
        <v>218</v>
      </c>
      <c r="C25" s="234" vm="939">
        <v>36236294.220000006</v>
      </c>
      <c r="D25" s="274">
        <v>100</v>
      </c>
      <c r="E25" s="235" vm="1168">
        <v>38550016.239999995</v>
      </c>
      <c r="F25" s="274">
        <v>100</v>
      </c>
      <c r="G25" s="243">
        <v>106.38509557835241</v>
      </c>
      <c r="H25" s="235" vm="1332">
        <v>33169</v>
      </c>
      <c r="I25" s="274">
        <v>100.00000000000001</v>
      </c>
      <c r="J25" s="235" vm="1128">
        <v>34442</v>
      </c>
      <c r="K25" s="274">
        <v>100</v>
      </c>
      <c r="L25" s="243">
        <v>103.8379209502849</v>
      </c>
    </row>
    <row r="26" spans="2:21" s="64" customFormat="1" ht="3.75" customHeight="1" x14ac:dyDescent="0.3">
      <c r="B26" s="78"/>
      <c r="C26" s="16"/>
      <c r="D26" s="280"/>
      <c r="E26" s="79"/>
      <c r="F26" s="280"/>
      <c r="G26" s="204"/>
      <c r="H26" s="79"/>
      <c r="I26" s="280"/>
      <c r="J26" s="18"/>
      <c r="K26" s="280"/>
      <c r="L26" s="204"/>
      <c r="M26" s="79"/>
      <c r="N26" s="79"/>
      <c r="O26" s="79"/>
      <c r="P26" s="79"/>
      <c r="Q26" s="63"/>
      <c r="R26" s="63"/>
      <c r="S26" s="63"/>
      <c r="T26" s="63"/>
      <c r="U26" s="63"/>
    </row>
    <row r="27" spans="2:21" ht="23.3" customHeight="1" x14ac:dyDescent="0.3">
      <c r="B27" s="31" t="s">
        <v>65</v>
      </c>
      <c r="C27" s="242">
        <v>2321716422.6099992</v>
      </c>
      <c r="D27" s="281"/>
      <c r="E27" s="242">
        <v>1941740359.1900001</v>
      </c>
      <c r="F27" s="281"/>
      <c r="G27" s="283">
        <v>83.633829708072511</v>
      </c>
      <c r="H27" s="261">
        <v>1584930</v>
      </c>
      <c r="I27" s="281"/>
      <c r="J27" s="236">
        <v>1856095</v>
      </c>
      <c r="K27" s="281"/>
      <c r="L27" s="246">
        <v>117.10895749339088</v>
      </c>
    </row>
    <row r="28" spans="2:21" x14ac:dyDescent="0.3">
      <c r="B28" s="85"/>
      <c r="C28" s="85"/>
      <c r="D28" s="85"/>
      <c r="E28" s="85"/>
      <c r="F28" s="85"/>
      <c r="G28" s="91"/>
      <c r="H28" s="85"/>
      <c r="I28" s="85"/>
      <c r="J28" s="85"/>
      <c r="K28" s="85"/>
      <c r="L28" s="91"/>
      <c r="M28" s="22"/>
      <c r="N28" s="22"/>
      <c r="O28" s="22"/>
      <c r="P28" s="22"/>
    </row>
    <row r="29" spans="2:21" x14ac:dyDescent="0.3">
      <c r="B29" s="85"/>
      <c r="C29" s="85"/>
      <c r="D29" s="85"/>
      <c r="E29" s="85"/>
      <c r="F29" s="85"/>
      <c r="G29" s="91"/>
      <c r="H29" s="85"/>
      <c r="I29" s="85"/>
      <c r="J29" s="85"/>
      <c r="K29" s="85"/>
      <c r="L29" s="91"/>
      <c r="M29" s="22"/>
      <c r="N29" s="22"/>
      <c r="O29" s="22"/>
      <c r="P29" s="22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39997558519241921"/>
    <pageSetUpPr fitToPage="1"/>
  </sheetPr>
  <dimension ref="A1:Q29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4" width="17.3984375" style="8" bestFit="1" customWidth="1"/>
    <col min="5" max="5" width="11.69921875" style="70" bestFit="1" customWidth="1"/>
    <col min="6" max="7" width="13.69921875" style="8" bestFit="1" customWidth="1"/>
    <col min="8" max="8" width="11.59765625" style="70" customWidth="1"/>
    <col min="9" max="16384" width="9.296875" style="8"/>
  </cols>
  <sheetData>
    <row r="1" spans="1:17" s="22" customFormat="1" ht="58.85" customHeight="1" x14ac:dyDescent="0.3">
      <c r="A1" s="360" t="s">
        <v>205</v>
      </c>
      <c r="B1" s="360"/>
      <c r="C1" s="360"/>
      <c r="D1" s="360"/>
      <c r="E1" s="360"/>
      <c r="F1" s="360"/>
      <c r="G1" s="360"/>
      <c r="H1" s="360"/>
    </row>
    <row r="2" spans="1:17" s="22" customFormat="1" ht="13.85" x14ac:dyDescent="0.3">
      <c r="A2" s="337"/>
      <c r="B2" s="337"/>
      <c r="C2" s="337"/>
      <c r="D2" s="337"/>
      <c r="E2" s="337"/>
      <c r="F2" s="337"/>
      <c r="G2" s="337"/>
      <c r="H2" s="337"/>
    </row>
    <row r="3" spans="1:17" ht="21.75" customHeight="1" x14ac:dyDescent="0.3"/>
    <row r="4" spans="1:17" ht="7.5" customHeight="1" thickBot="1" x14ac:dyDescent="0.35"/>
    <row r="5" spans="1:17" s="62" customFormat="1" ht="14.95" customHeight="1" x14ac:dyDescent="0.3">
      <c r="B5" s="356" t="s">
        <v>44</v>
      </c>
      <c r="C5" s="354" t="s">
        <v>66</v>
      </c>
      <c r="D5" s="354"/>
      <c r="E5" s="354"/>
      <c r="F5" s="354" t="s">
        <v>42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8.4499999999999993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37.549999999999997" customHeight="1" x14ac:dyDescent="0.3">
      <c r="B8" s="15" t="s" vm="159">
        <v>206</v>
      </c>
      <c r="C8" s="233" vm="1418">
        <v>773753209.13</v>
      </c>
      <c r="D8" s="233" vm="1260">
        <v>717785114.88999999</v>
      </c>
      <c r="E8" s="287">
        <v>92.76667371720113</v>
      </c>
      <c r="F8" s="271" vm="1354">
        <v>55804</v>
      </c>
      <c r="G8" s="233" vm="1529">
        <v>53144</v>
      </c>
      <c r="H8" s="204">
        <v>95.233316608128447</v>
      </c>
    </row>
    <row r="9" spans="1:17" s="22" customFormat="1" ht="37.549999999999997" customHeight="1" x14ac:dyDescent="0.3">
      <c r="B9" s="15" t="s" vm="138">
        <v>207</v>
      </c>
      <c r="C9" s="233" vm="1773">
        <v>2169281.4099999997</v>
      </c>
      <c r="D9" s="233" vm="1334">
        <v>1250313.8</v>
      </c>
      <c r="E9" s="287">
        <v>57.637233889355102</v>
      </c>
      <c r="F9" s="271" vm="1614">
        <v>16</v>
      </c>
      <c r="G9" s="233" vm="1774">
        <v>136</v>
      </c>
      <c r="H9" s="204">
        <v>850</v>
      </c>
    </row>
    <row r="10" spans="1:17" s="22" customFormat="1" ht="37.549999999999997" customHeight="1" x14ac:dyDescent="0.3">
      <c r="B10" s="15" t="s" vm="113">
        <v>208</v>
      </c>
      <c r="C10" s="233" vm="1223">
        <v>5080761.99</v>
      </c>
      <c r="D10" s="233" vm="1563">
        <v>6335084.5900000008</v>
      </c>
      <c r="E10" s="287">
        <v>124.68768665937844</v>
      </c>
      <c r="F10" s="271" vm="912">
        <v>786</v>
      </c>
      <c r="G10" s="233" vm="987">
        <v>736</v>
      </c>
      <c r="H10" s="204">
        <v>93.638676844783717</v>
      </c>
    </row>
    <row r="11" spans="1:17" s="22" customFormat="1" ht="35.450000000000003" customHeight="1" x14ac:dyDescent="0.3">
      <c r="B11" s="15" t="s" vm="90">
        <v>209</v>
      </c>
      <c r="C11" s="233" vm="1600">
        <v>6312170.29</v>
      </c>
      <c r="D11" s="233" vm="1257">
        <v>3164731.9299999997</v>
      </c>
      <c r="E11" s="287">
        <v>50.136985927228515</v>
      </c>
      <c r="F11" s="271" vm="1148">
        <v>145</v>
      </c>
      <c r="G11" s="233" vm="1592">
        <v>127</v>
      </c>
      <c r="H11" s="204">
        <v>87.586206896551715</v>
      </c>
    </row>
    <row r="12" spans="1:17" s="64" customFormat="1" ht="3.05" customHeight="1" thickBot="1" x14ac:dyDescent="0.35">
      <c r="B12" s="78"/>
      <c r="C12" s="233"/>
      <c r="D12" s="233"/>
      <c r="E12" s="299"/>
      <c r="F12" s="271"/>
      <c r="G12" s="233"/>
      <c r="H12" s="204"/>
      <c r="I12" s="79"/>
      <c r="J12" s="79"/>
      <c r="K12" s="79"/>
      <c r="L12" s="79"/>
      <c r="M12" s="63"/>
      <c r="N12" s="63"/>
      <c r="O12" s="63"/>
      <c r="P12" s="63"/>
      <c r="Q12" s="63"/>
    </row>
    <row r="13" spans="1:17" ht="37.549999999999997" customHeight="1" thickBot="1" x14ac:dyDescent="0.35">
      <c r="B13" s="120" t="s" vm="43">
        <v>210</v>
      </c>
      <c r="C13" s="235" vm="845">
        <v>787315422.81999981</v>
      </c>
      <c r="D13" s="235" vm="819">
        <v>728535245.2099998</v>
      </c>
      <c r="E13" s="243">
        <v>92.534100576937547</v>
      </c>
      <c r="F13" s="235" vm="1335">
        <v>56751</v>
      </c>
      <c r="G13" s="235" vm="1244">
        <v>54143</v>
      </c>
      <c r="H13" s="243">
        <v>95.404486264559225</v>
      </c>
    </row>
    <row r="14" spans="1:17" s="64" customFormat="1" ht="3.05" customHeight="1" x14ac:dyDescent="0.3">
      <c r="B14" s="78"/>
      <c r="C14" s="233"/>
      <c r="D14" s="233"/>
      <c r="E14" s="299"/>
      <c r="F14" s="271"/>
      <c r="G14" s="233"/>
      <c r="H14" s="204"/>
      <c r="I14" s="79"/>
      <c r="J14" s="79"/>
      <c r="K14" s="79"/>
      <c r="L14" s="79"/>
      <c r="M14" s="63"/>
      <c r="N14" s="63"/>
      <c r="O14" s="63"/>
      <c r="P14" s="63"/>
      <c r="Q14" s="63"/>
    </row>
    <row r="15" spans="1:17" s="22" customFormat="1" ht="35.450000000000003" customHeight="1" x14ac:dyDescent="0.3">
      <c r="B15" s="15" t="s" vm="137">
        <v>211</v>
      </c>
      <c r="C15" s="233" vm="1273">
        <v>65653.319999999992</v>
      </c>
      <c r="D15" s="233" vm="1434">
        <v>-3.2684965844964609E-13</v>
      </c>
      <c r="E15" s="287" t="s">
        <v>127</v>
      </c>
      <c r="F15" s="271" vm="1538">
        <v>4</v>
      </c>
      <c r="G15" s="233" vm="1575">
        <v>0</v>
      </c>
      <c r="H15" s="204" t="s">
        <v>127</v>
      </c>
    </row>
    <row r="16" spans="1:17" s="22" customFormat="1" ht="35.450000000000003" customHeight="1" x14ac:dyDescent="0.3">
      <c r="B16" s="15" t="s" vm="112">
        <v>212</v>
      </c>
      <c r="C16" s="233" vm="774">
        <v>0</v>
      </c>
      <c r="D16" s="233" vm="919">
        <v>8550.06</v>
      </c>
      <c r="E16" s="287" t="s">
        <v>127</v>
      </c>
      <c r="F16" s="271" vm="1667">
        <v>0</v>
      </c>
      <c r="G16" s="233" vm="944">
        <v>0</v>
      </c>
      <c r="H16" s="204" t="s">
        <v>127</v>
      </c>
    </row>
    <row r="17" spans="2:17" ht="3.75" customHeight="1" thickBot="1" x14ac:dyDescent="0.35">
      <c r="B17" s="32"/>
      <c r="C17" s="233"/>
      <c r="D17" s="233"/>
      <c r="E17" s="287"/>
      <c r="F17" s="271"/>
      <c r="G17" s="233"/>
      <c r="H17" s="204"/>
    </row>
    <row r="18" spans="2:17" ht="37.549999999999997" customHeight="1" thickBot="1" x14ac:dyDescent="0.35">
      <c r="B18" s="120" t="s" vm="34">
        <v>213</v>
      </c>
      <c r="C18" s="235" vm="1602">
        <v>65653.320000000007</v>
      </c>
      <c r="D18" s="235" vm="1074">
        <v>8550.06</v>
      </c>
      <c r="E18" s="243">
        <v>13.023042856020073</v>
      </c>
      <c r="F18" s="235" vm="1679">
        <v>4</v>
      </c>
      <c r="G18" s="235" vm="1298">
        <v>0</v>
      </c>
      <c r="H18" s="243" t="s">
        <v>127</v>
      </c>
    </row>
    <row r="19" spans="2:17" ht="4.8499999999999996" customHeight="1" x14ac:dyDescent="0.3">
      <c r="B19" s="37"/>
      <c r="C19" s="233"/>
      <c r="D19" s="233"/>
      <c r="E19" s="287"/>
      <c r="F19" s="271"/>
      <c r="G19" s="233"/>
      <c r="H19" s="204"/>
    </row>
    <row r="20" spans="2:17" ht="38.25" customHeight="1" x14ac:dyDescent="0.3">
      <c r="B20" s="15" t="s" vm="158">
        <v>214</v>
      </c>
      <c r="C20" s="233" vm="1349">
        <v>1600198.0000000002</v>
      </c>
      <c r="D20" s="233" vm="1104">
        <v>2664815.4299999997</v>
      </c>
      <c r="E20" s="287">
        <v>166.53035624341484</v>
      </c>
      <c r="F20" s="271" vm="1242">
        <v>54</v>
      </c>
      <c r="G20" s="233" vm="793">
        <v>61</v>
      </c>
      <c r="H20" s="204">
        <v>112.96296296296295</v>
      </c>
    </row>
    <row r="21" spans="2:17" ht="37.549999999999997" customHeight="1" x14ac:dyDescent="0.3">
      <c r="B21" s="15" t="s" vm="136">
        <v>215</v>
      </c>
      <c r="C21" s="233" vm="1851">
        <v>0</v>
      </c>
      <c r="D21" s="233" vm="1850">
        <v>774.16</v>
      </c>
      <c r="E21" s="287" t="s">
        <v>127</v>
      </c>
      <c r="F21" s="271" vm="1849">
        <v>0</v>
      </c>
      <c r="G21" s="233" vm="1448">
        <v>0</v>
      </c>
      <c r="H21" s="204" t="s">
        <v>127</v>
      </c>
    </row>
    <row r="22" spans="2:17" ht="36" customHeight="1" x14ac:dyDescent="0.3">
      <c r="B22" s="15" t="s" vm="111">
        <v>216</v>
      </c>
      <c r="C22" s="233" vm="803">
        <v>770924.0399999998</v>
      </c>
      <c r="D22" s="233" vm="759">
        <v>106963.23</v>
      </c>
      <c r="E22" s="287">
        <v>13.874678236781932</v>
      </c>
      <c r="F22" s="271" vm="1080">
        <v>2</v>
      </c>
      <c r="G22" s="233" vm="940">
        <v>8</v>
      </c>
      <c r="H22" s="204">
        <v>400</v>
      </c>
    </row>
    <row r="23" spans="2:17" s="22" customFormat="1" ht="31.85" customHeight="1" x14ac:dyDescent="0.3">
      <c r="B23" s="15" t="s" vm="89">
        <v>217</v>
      </c>
      <c r="C23" s="233" vm="1341">
        <v>150081.1</v>
      </c>
      <c r="D23" s="233" vm="929">
        <v>795756.88999999978</v>
      </c>
      <c r="E23" s="287">
        <v>530.21792217674295</v>
      </c>
      <c r="F23" s="271" vm="1292">
        <v>8</v>
      </c>
      <c r="G23" s="233" vm="883">
        <v>21</v>
      </c>
      <c r="H23" s="204">
        <v>262.5</v>
      </c>
    </row>
    <row r="24" spans="2:17" s="64" customFormat="1" ht="3.75" customHeight="1" thickBot="1" x14ac:dyDescent="0.35">
      <c r="C24" s="233"/>
      <c r="D24" s="233"/>
      <c r="E24" s="287"/>
      <c r="F24" s="271"/>
      <c r="G24" s="233"/>
      <c r="H24" s="204"/>
      <c r="I24" s="79"/>
      <c r="J24" s="79"/>
      <c r="K24" s="79"/>
      <c r="L24" s="79"/>
      <c r="M24" s="63"/>
      <c r="N24" s="63"/>
      <c r="O24" s="63"/>
      <c r="P24" s="63"/>
      <c r="Q24" s="63"/>
    </row>
    <row r="25" spans="2:17" ht="37.549999999999997" customHeight="1" thickBot="1" x14ac:dyDescent="0.35">
      <c r="B25" s="120" t="s" vm="39">
        <v>218</v>
      </c>
      <c r="C25" s="235" vm="1406">
        <v>2521203.1399999997</v>
      </c>
      <c r="D25" s="235" vm="823">
        <v>3568309.71</v>
      </c>
      <c r="E25" s="243">
        <v>141.53201911369985</v>
      </c>
      <c r="F25" s="235" vm="767">
        <v>64</v>
      </c>
      <c r="G25" s="235" vm="1310">
        <v>90</v>
      </c>
      <c r="H25" s="243">
        <v>140.625</v>
      </c>
    </row>
    <row r="26" spans="2:17" s="64" customFormat="1" ht="3.75" customHeight="1" x14ac:dyDescent="0.3">
      <c r="B26" s="78"/>
      <c r="C26" s="16"/>
      <c r="D26" s="79"/>
      <c r="E26" s="204"/>
      <c r="F26" s="79"/>
      <c r="G26" s="18" t="s">
        <v>181</v>
      </c>
      <c r="H26" s="204"/>
      <c r="I26" s="79"/>
      <c r="J26" s="79"/>
      <c r="K26" s="79"/>
      <c r="L26" s="79"/>
      <c r="M26" s="63"/>
      <c r="N26" s="63"/>
      <c r="O26" s="63"/>
      <c r="P26" s="63"/>
      <c r="Q26" s="63"/>
    </row>
    <row r="27" spans="2:17" ht="23.3" customHeight="1" x14ac:dyDescent="0.3">
      <c r="B27" s="31" t="s">
        <v>65</v>
      </c>
      <c r="C27" s="242">
        <v>789902279.27999985</v>
      </c>
      <c r="D27" s="242">
        <v>732112104.97999978</v>
      </c>
      <c r="E27" s="246">
        <v>92.683883080743087</v>
      </c>
      <c r="F27" s="242">
        <v>56819</v>
      </c>
      <c r="G27" s="236">
        <v>54233</v>
      </c>
      <c r="H27" s="246">
        <v>95.44870553864024</v>
      </c>
    </row>
    <row r="28" spans="2:17" x14ac:dyDescent="0.3">
      <c r="B28" s="85"/>
      <c r="C28" s="85"/>
      <c r="D28" s="85"/>
      <c r="E28" s="91"/>
      <c r="F28" s="85"/>
      <c r="G28" s="85"/>
      <c r="H28" s="91"/>
      <c r="I28" s="22"/>
      <c r="J28" s="22"/>
      <c r="K28" s="22"/>
      <c r="L28" s="22"/>
    </row>
    <row r="29" spans="2:17" x14ac:dyDescent="0.3">
      <c r="B29" s="85"/>
      <c r="C29" s="85"/>
      <c r="D29" s="85"/>
      <c r="E29" s="91"/>
      <c r="F29" s="85"/>
      <c r="G29" s="85"/>
      <c r="H29" s="91"/>
      <c r="I29" s="22"/>
      <c r="J29" s="22"/>
      <c r="K29" s="22"/>
      <c r="L29" s="22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21"/>
  <sheetViews>
    <sheetView topLeftCell="H1" workbookViewId="0">
      <selection activeCell="J12" sqref="J12"/>
    </sheetView>
  </sheetViews>
  <sheetFormatPr defaultRowHeight="14.4" x14ac:dyDescent="0.3"/>
  <cols>
    <col min="1" max="1" width="47.69921875" customWidth="1"/>
    <col min="2" max="2" width="15.296875" bestFit="1" customWidth="1"/>
    <col min="3" max="3" width="88.69921875" customWidth="1"/>
    <col min="6" max="6" width="112.296875" customWidth="1"/>
    <col min="7" max="7" width="39" bestFit="1" customWidth="1"/>
    <col min="8" max="8" width="16.3984375" bestFit="1" customWidth="1"/>
    <col min="9" max="9" width="15.69921875" customWidth="1"/>
    <col min="10" max="10" width="14.296875" customWidth="1"/>
  </cols>
  <sheetData>
    <row r="1" spans="1:10" ht="14.95" x14ac:dyDescent="0.25">
      <c r="A1" t="str" vm="25">
        <f>CUBEMEMBER("KRK HUO2 RH Statistika","[Measures].[Broj osiguranja- rizici]")</f>
        <v>Broj osiguranja- rizici</v>
      </c>
      <c r="B1" t="str" vm="27">
        <f>CUBEMEMBER("KRK HUO2 RH Statistika","[Measures].[Broj šteta - rizici]")</f>
        <v>Broj šteta - rizici</v>
      </c>
      <c r="C1" t="str" vm="26">
        <f>CUBEMEMBER("KRK HUO2 RH Statistika","[Measures].[Likvidirane štete bruto - rizici]")</f>
        <v>Likvidirane štete bruto - rizici</v>
      </c>
      <c r="I1" t="s">
        <v>74</v>
      </c>
      <c r="J1" t="s">
        <v>75</v>
      </c>
    </row>
    <row r="2" spans="1:10" x14ac:dyDescent="0.3">
      <c r="A2" vm="28">
        <f>CUBEVALUE("KRK HUO2 RH Statistika",A$1)</f>
        <v>171130332</v>
      </c>
      <c r="B2" vm="30">
        <f>CUBEVALUE("KRK HUO2 RH Statistika",B$1)</f>
        <v>15453669</v>
      </c>
      <c r="C2" vm="29">
        <f>CUBEVALUE("KRK HUO2 RH Statistika",C$1)</f>
        <v>97174869535.570221</v>
      </c>
      <c r="I2" t="s">
        <v>76</v>
      </c>
      <c r="J2" t="s">
        <v>87</v>
      </c>
    </row>
    <row r="3" spans="1:10" x14ac:dyDescent="0.3">
      <c r="I3" t="s">
        <v>77</v>
      </c>
      <c r="J3" t="s">
        <v>88</v>
      </c>
    </row>
    <row r="4" spans="1:10" x14ac:dyDescent="0.3">
      <c r="I4" t="s">
        <v>78</v>
      </c>
      <c r="J4" t="s">
        <v>89</v>
      </c>
    </row>
    <row r="5" spans="1:10" x14ac:dyDescent="0.3">
      <c r="I5" t="s">
        <v>79</v>
      </c>
      <c r="J5" t="s">
        <v>90</v>
      </c>
    </row>
    <row r="6" spans="1:10" x14ac:dyDescent="0.3">
      <c r="A6" t="s">
        <v>17</v>
      </c>
      <c r="C6" t="s">
        <v>17</v>
      </c>
      <c r="F6" t="s">
        <v>17</v>
      </c>
      <c r="G6" t="str" vm="172">
        <f>CUBEMEMBER("KRK HUO2 RH Statistika","[Measures].[Zaračunata bruto premija osiguranja- rizici]")</f>
        <v>Zaračunata bruto premija osiguranja- rizici</v>
      </c>
      <c r="I6" t="s">
        <v>72</v>
      </c>
      <c r="J6" t="s">
        <v>73</v>
      </c>
    </row>
    <row r="7" spans="1:10" x14ac:dyDescent="0.3">
      <c r="A7" s="2" t="str" vm="79">
        <f>CUBEMEMBER("KRK HUO2 RH Statistika","[Vrste osiguranja].[hSkupineVrsteOsiguranja].[Skupina osiguranja].&amp;[1]")</f>
        <v>Neživot</v>
      </c>
      <c r="C7" s="2" t="str" vm="40">
        <f>CUBEMEMBER("KRK HUO2 RH Statistika","[Rizici].[hSkupineRiziciOsiguranja].[Skupina osiguranja].&amp;[1]")</f>
        <v>Neživot</v>
      </c>
      <c r="F7" s="2" t="str" vm="40">
        <f>CUBEMEMBER("KRK HUO2 RH Statistika","[Rizici].[hSkupineRiziciOsiguranja].[Skupina osiguranja].&amp;[1]")</f>
        <v>Neživot</v>
      </c>
      <c r="G7" vm="209">
        <f t="shared" ref="G7:G54" si="0">CUBEVALUE("KRK HUO2 RH Statistika",$F7,G$6)</f>
        <v>143755863420.17007</v>
      </c>
      <c r="I7" t="s">
        <v>80</v>
      </c>
      <c r="J7" t="s">
        <v>91</v>
      </c>
    </row>
    <row r="8" spans="1:10" x14ac:dyDescent="0.3">
      <c r="A8" s="3" t="str" vm="72">
        <f>CUBEMEMBER("KRK HUO2 RH Statistika","[Vrste osiguranja].[hSkupineVrsteOsiguranja].[Vrsta osiguranja].&amp;[1]")</f>
        <v>01 OSIGURANJE OD NEZGODE</v>
      </c>
      <c r="C8" s="3" t="str" vm="48">
        <f>CUBEMEMBER("KRK HUO2 RH Statistika","[Rizici].[hSkupineRiziciOsiguranja].[Vrsta osiguranja].&amp;[1]")</f>
        <v>01 OSIGURANJE OD NEZGODE</v>
      </c>
      <c r="F8" s="3" t="str" vm="48">
        <f>CUBEMEMBER("KRK HUO2 RH Statistika","[Rizici].[hSkupineRiziciOsiguranja].[Vrsta osiguranja].&amp;[1]")</f>
        <v>01 OSIGURANJE OD NEZGODE</v>
      </c>
      <c r="G8" vm="210">
        <f t="shared" si="0"/>
        <v>11097154771.469967</v>
      </c>
      <c r="I8" t="s">
        <v>81</v>
      </c>
      <c r="J8" t="s">
        <v>92</v>
      </c>
    </row>
    <row r="9" spans="1:10" x14ac:dyDescent="0.3">
      <c r="A9" s="3" t="str" vm="65">
        <f>CUBEMEMBER("KRK HUO2 RH Statistika","[Vrste osiguranja].[hSkupineVrsteOsiguranja].[Vrsta osiguranja].&amp;[2]")</f>
        <v>02 ZDRAVSTVENO OSIGURANJE</v>
      </c>
      <c r="C9" s="5" t="str" vm="148">
        <f>CUBEMEMBER("KRK HUO2 RH Statistika","[Rizici].[hSkupineRiziciOsiguranja].[Rizik].&amp;[1]")</f>
        <v>01.01 OSIGURANJE OSOBA OD POSLJEDICA NEZGODE PRI I IZVAN REDOVNOG ZANIMANJA</v>
      </c>
      <c r="D9" s="11" t="s">
        <v>47</v>
      </c>
      <c r="F9" s="3" t="str" vm="45">
        <f>CUBEMEMBER("KRK HUO2 RH Statistika","[Rizici].[hSkupineRiziciOsiguranja].[Vrsta osiguranja].&amp;[2]")</f>
        <v>02 ZDRAVSTVENO OSIGURANJE</v>
      </c>
      <c r="G9" vm="208">
        <f t="shared" si="0"/>
        <v>5554263520.5700006</v>
      </c>
      <c r="I9" t="s">
        <v>82</v>
      </c>
      <c r="J9" t="s">
        <v>93</v>
      </c>
    </row>
    <row r="10" spans="1:10" x14ac:dyDescent="0.3">
      <c r="A10" s="3" t="str" vm="58">
        <f>CUBEMEMBER("KRK HUO2 RH Statistika","[Vrste osiguranja].[hSkupineVrsteOsiguranja].[Vrsta osiguranja].&amp;[3]")</f>
        <v>03 OSIGURANJE CESTOVNIH VOZILA - KASKO</v>
      </c>
      <c r="C10" s="5" t="str" vm="127">
        <f>CUBEMEMBER("KRK HUO2 RH Statistika","[Rizici].[hSkupineRiziciOsiguranja].[Rizik].&amp;[2]")</f>
        <v>01.02 OSIGURANJE OSOBA OD POSLJEDICA NEZGODE U MOTORNIM VOZILIMA I PRI POSEBNIM DJELATNOSTIMA</v>
      </c>
      <c r="D10" s="12" t="s">
        <v>48</v>
      </c>
      <c r="F10" s="3" t="str" vm="36">
        <f>CUBEMEMBER("KRK HUO2 RH Statistika","[Rizici].[hSkupineRiziciOsiguranja].[Vrsta osiguranja].&amp;[3]")</f>
        <v>03 OSIGURANJE CESTOVNIH VOZILA - KASKO</v>
      </c>
      <c r="G10" vm="211">
        <f t="shared" si="0"/>
        <v>18744805202.449974</v>
      </c>
      <c r="I10" t="s">
        <v>83</v>
      </c>
      <c r="J10" t="s">
        <v>94</v>
      </c>
    </row>
    <row r="11" spans="1:10" x14ac:dyDescent="0.3">
      <c r="A11" s="3" t="str" vm="78">
        <f>CUBEMEMBER("KRK HUO2 RH Statistika","[Vrste osiguranja].[hSkupineVrsteOsiguranja].[Vrsta osiguranja].&amp;[4]")</f>
        <v>04 OSIGURANJE TRAČNIH VOZILA - KASKO</v>
      </c>
      <c r="C11" s="5" t="str" vm="100">
        <f>CUBEMEMBER("KRK HUO2 RH Statistika","[Rizici].[hSkupineRiziciOsiguranja].[Rizik].&amp;[3]")</f>
        <v>01.03 OSIGURANJE DJECE I ŠKOLSKE MLADEŽI OD POSLJEDICA NEZGODE I POS. OSIG. MLADEŽI OD POSLJEDICA NEZGODE</v>
      </c>
      <c r="D11" s="11" t="s">
        <v>49</v>
      </c>
      <c r="F11" s="3" t="str" vm="51">
        <f>CUBEMEMBER("KRK HUO2 RH Statistika","[Rizici].[hSkupineRiziciOsiguranja].[Vrsta osiguranja].&amp;[4]")</f>
        <v>04 OSIGURANJE TRAČNIH VOZILA - KASKO</v>
      </c>
      <c r="G11" vm="207">
        <f t="shared" si="0"/>
        <v>103177344.10000001</v>
      </c>
      <c r="I11" t="s">
        <v>84</v>
      </c>
      <c r="J11" t="s">
        <v>95</v>
      </c>
    </row>
    <row r="12" spans="1:10" x14ac:dyDescent="0.3">
      <c r="A12" s="3" t="str" vm="71">
        <f>CUBEMEMBER("KRK HUO2 RH Statistika","[Vrste osiguranja].[hSkupineVrsteOsiguranja].[Vrsta osiguranja].&amp;[5]")</f>
        <v>05 OSIGURANJE ZRAČNIH LETJELICA - KASKO</v>
      </c>
      <c r="C12" s="5" t="str" vm="171">
        <f>CUBEMEMBER("KRK HUO2 RH Statistika","[Rizici].[hSkupineRiziciOsiguranja].[Rizik].&amp;[4]")</f>
        <v>01.04 OSIGURANJE GOSTIJU, POSJETITELJA PRIREDBI, IZLETNIKA I TURISTA OD POSLJEDICA NEZGODE</v>
      </c>
      <c r="D12" s="12" t="s">
        <v>50</v>
      </c>
      <c r="F12" s="3" t="str" vm="38">
        <f>CUBEMEMBER("KRK HUO2 RH Statistika","[Rizici].[hSkupineRiziciOsiguranja].[Vrsta osiguranja].&amp;[5]")</f>
        <v>05 OSIGURANJE ZRAČNIH LETJELICA - KASKO</v>
      </c>
      <c r="G12" vm="212">
        <f t="shared" si="0"/>
        <v>318079596.17000049</v>
      </c>
      <c r="I12" t="s">
        <v>85</v>
      </c>
      <c r="J12" t="s">
        <v>96</v>
      </c>
    </row>
    <row r="13" spans="1:10" x14ac:dyDescent="0.3">
      <c r="A13" s="3" t="str" vm="64">
        <f>CUBEMEMBER("KRK HUO2 RH Statistika","[Vrste osiguranja].[hSkupineVrsteOsiguranja].[Vrsta osiguranja].&amp;[6]")</f>
        <v>06 OSIGURANJE PLOVILA</v>
      </c>
      <c r="C13" s="5" t="str" vm="147">
        <f>CUBEMEMBER("KRK HUO2 RH Statistika","[Rizici].[hSkupineRiziciOsiguranja].[Rizik].&amp;[5]")</f>
        <v>01.05 OSIGURANJE POTOŠAČA, PRETPLATNIKA, KORISNIKA DRUGIH JAVNIH USLUGA I SL. OD POSLJEDICA NEZGODE</v>
      </c>
      <c r="D13" s="11" t="s">
        <v>51</v>
      </c>
      <c r="F13" s="3" t="str" vm="44">
        <f>CUBEMEMBER("KRK HUO2 RH Statistika","[Rizici].[hSkupineRiziciOsiguranja].[Vrsta osiguranja].&amp;[6]")</f>
        <v>06 OSIGURANJE PLOVILA</v>
      </c>
      <c r="G13" vm="206">
        <f t="shared" si="0"/>
        <v>4342979363.3699942</v>
      </c>
      <c r="I13" t="s">
        <v>86</v>
      </c>
      <c r="J13" t="s">
        <v>97</v>
      </c>
    </row>
    <row r="14" spans="1:10" x14ac:dyDescent="0.3">
      <c r="A14" s="3" t="str" vm="57">
        <f>CUBEMEMBER("KRK HUO2 RH Statistika","[Vrste osiguranja].[hSkupineVrsteOsiguranja].[Vrsta osiguranja].&amp;[7]")</f>
        <v>07 OSIGURANJE ROBE U PRIJEVOZU</v>
      </c>
      <c r="C14" s="5" t="str" vm="126">
        <f>CUBEMEMBER("KRK HUO2 RH Statistika","[Rizici].[hSkupineRiziciOsiguranja].[Rizik].&amp;[6]")</f>
        <v>01.06 OSTALA POSEBNA OSIGURANJA OD POSLJEDICA NEZGODE</v>
      </c>
      <c r="D14" s="12" t="s">
        <v>52</v>
      </c>
      <c r="F14" s="3" t="str" vm="35">
        <f>CUBEMEMBER("KRK HUO2 RH Statistika","[Rizici].[hSkupineRiziciOsiguranja].[Vrsta osiguranja].&amp;[7]")</f>
        <v>07 OSIGURANJE ROBE U PRIJEVOZU</v>
      </c>
      <c r="G14" vm="213">
        <f t="shared" si="0"/>
        <v>1400849881.8300014</v>
      </c>
      <c r="I14" t="s">
        <v>98</v>
      </c>
      <c r="J14" t="s">
        <v>102</v>
      </c>
    </row>
    <row r="15" spans="1:10" x14ac:dyDescent="0.3">
      <c r="A15" s="3" t="str" vm="77">
        <f>CUBEMEMBER("KRK HUO2 RH Statistika","[Vrste osiguranja].[hSkupineVrsteOsiguranja].[Vrsta osiguranja].&amp;[8]")</f>
        <v>08 OSIGURANJE OD POŽARA I ELEMENTARNIH ŠTETA</v>
      </c>
      <c r="C15" s="5" t="str" vm="99">
        <f>CUBEMEMBER("KRK HUO2 RH Statistika","[Rizici].[hSkupineRiziciOsiguranja].[Rizik].&amp;[7]")</f>
        <v>01.07 OBVEZNO OSIGURANJE PUTNIKA U JAVNOM PRIJEVOZU OD POSLJEDICA NEZGODE</v>
      </c>
      <c r="D15" s="11" t="s">
        <v>53</v>
      </c>
      <c r="F15" s="3" t="str" vm="50">
        <f>CUBEMEMBER("KRK HUO2 RH Statistika","[Rizici].[hSkupineRiziciOsiguranja].[Vrsta osiguranja].&amp;[8]")</f>
        <v>08 OSIGURANJE OD POŽARA I ELEMENTARNIH ŠTETA</v>
      </c>
      <c r="G15" vm="205">
        <f t="shared" si="0"/>
        <v>12267730483.490005</v>
      </c>
      <c r="I15" t="s">
        <v>99</v>
      </c>
      <c r="J15" s="1" t="s">
        <v>103</v>
      </c>
    </row>
    <row r="16" spans="1:10" x14ac:dyDescent="0.3">
      <c r="A16" s="3" t="str" vm="70">
        <f>CUBEMEMBER("KRK HUO2 RH Statistika","[Vrste osiguranja].[hSkupineVrsteOsiguranja].[Vrsta osiguranja].&amp;[9]")</f>
        <v>09 OSTALA OSIGURANJA IMOVINE</v>
      </c>
      <c r="C16" s="5" t="str" vm="170">
        <f>CUBEMEMBER("KRK HUO2 RH Statistika","[Rizici].[hSkupineRiziciOsiguranja].[Rizik].&amp;[8]")</f>
        <v>01.99 OSTALA OSIGURANJA OD POSLJEDICA NEZGODE</v>
      </c>
      <c r="D16" s="12" t="s">
        <v>54</v>
      </c>
      <c r="F16" s="3" t="str" vm="47">
        <f>CUBEMEMBER("KRK HUO2 RH Statistika","[Rizici].[hSkupineRiziciOsiguranja].[Vrsta osiguranja].&amp;[9]")</f>
        <v>09 OSTALA OSIGURANJA IMOVINE</v>
      </c>
      <c r="G16" vm="214">
        <f t="shared" si="0"/>
        <v>15722789476.180008</v>
      </c>
      <c r="I16" t="s">
        <v>100</v>
      </c>
      <c r="J16" s="1" t="s">
        <v>104</v>
      </c>
    </row>
    <row r="17" spans="1:10" x14ac:dyDescent="0.3">
      <c r="A17" s="3" t="str" vm="63">
        <f>CUBEMEMBER("KRK HUO2 RH Statistika","[Vrste osiguranja].[hSkupineVrsteOsiguranja].[Vrsta osiguranja].&amp;[10]")</f>
        <v>10 OSIGURANJE OD ODGOVORNOSTI ZA UPOTREBU MOTORNIH VOZILA</v>
      </c>
      <c r="C17" s="3" t="str" vm="48">
        <f>CUBEMEMBER("KRK HUO2 RH Statistika","[Rizici].[hSkupineRiziciOsiguranja].[Vrsta osiguranja].&amp;[1]")</f>
        <v>01 OSIGURANJE OD NEZGODE</v>
      </c>
      <c r="D17" s="13" t="s">
        <v>55</v>
      </c>
      <c r="F17" s="3" t="str" vm="43">
        <f>CUBEMEMBER("KRK HUO2 RH Statistika","[Rizici].[hSkupineRiziciOsiguranja].[Vrsta osiguranja].&amp;[10]")</f>
        <v>10 OSIGURANJE OD ODGOVORNOSTI ZA UPOTREBU MOTORNIH VOZILA</v>
      </c>
      <c r="G17" vm="204">
        <f t="shared" si="0"/>
        <v>61737218259.290092</v>
      </c>
      <c r="I17" t="s">
        <v>101</v>
      </c>
      <c r="J17" s="1" t="s">
        <v>105</v>
      </c>
    </row>
    <row r="18" spans="1:10" x14ac:dyDescent="0.3">
      <c r="A18" s="3" t="str" vm="56">
        <f>CUBEMEMBER("KRK HUO2 RH Statistika","[Vrste osiguranja].[hSkupineVrsteOsiguranja].[Vrsta osiguranja].&amp;[11]")</f>
        <v>11 OSIGURANJE OD ODGOVORNOSTI ZA UPOTREBU ZRAČNIH LETJELICA</v>
      </c>
      <c r="C18" s="3" t="str" vm="45">
        <f>CUBEMEMBER("KRK HUO2 RH Statistika","[Rizici].[hSkupineRiziciOsiguranja].[Vrsta osiguranja].&amp;[2]")</f>
        <v>02 ZDRAVSTVENO OSIGURANJE</v>
      </c>
      <c r="D18" s="14" t="s">
        <v>56</v>
      </c>
      <c r="F18" s="3" t="str" vm="34">
        <f>CUBEMEMBER("KRK HUO2 RH Statistika","[Rizici].[hSkupineRiziciOsiguranja].[Vrsta osiguranja].&amp;[11]")</f>
        <v>11 OSIGURANJE OD ODGOVORNOSTI ZA UPOTREBU ZRAČNIH LETJELICA</v>
      </c>
      <c r="G18" vm="215">
        <f t="shared" si="0"/>
        <v>82328336.899999961</v>
      </c>
    </row>
    <row r="19" spans="1:10" x14ac:dyDescent="0.3">
      <c r="A19" s="3" t="str" vm="76">
        <f>CUBEMEMBER("KRK HUO2 RH Statistika","[Vrste osiguranja].[hSkupineVrsteOsiguranja].[Vrsta osiguranja].&amp;[12]")</f>
        <v>12 OSIGURANJE OD ODGOVORNOSTI ZA UPOTREBU PLOVILA</v>
      </c>
      <c r="C19" s="5" t="str" vm="125">
        <f>CUBEMEMBER("KRK HUO2 RH Statistika","[Rizici].[hSkupineRiziciOsiguranja].[Rizik].&amp;[9]")</f>
        <v>02.01 OBVEZNO OSIG. NAKNADE TROŠKOVA ZA SLUČAJ OZLJEDE NA RADU I PROF. BOL.</v>
      </c>
      <c r="D19" s="13" t="s">
        <v>57</v>
      </c>
      <c r="F19" s="3" t="str" vm="39">
        <f>CUBEMEMBER("KRK HUO2 RH Statistika","[Rizici].[hSkupineRiziciOsiguranja].[Vrsta osiguranja].&amp;[12]")</f>
        <v>12 OSIGURANJE OD ODGOVORNOSTI ZA UPOTREBU PLOVILA</v>
      </c>
      <c r="G19" vm="203">
        <f t="shared" si="0"/>
        <v>843177977.24000084</v>
      </c>
    </row>
    <row r="20" spans="1:10" x14ac:dyDescent="0.3">
      <c r="A20" s="3" t="str" vm="69">
        <f>CUBEMEMBER("KRK HUO2 RH Statistika","[Vrste osiguranja].[hSkupineVrsteOsiguranja].[Vrsta osiguranja].&amp;[13]")</f>
        <v>13 OSTALA OSIGURANJA OD ODGOVORNOSTI</v>
      </c>
      <c r="C20" s="5" t="str" vm="98">
        <f>CUBEMEMBER("KRK HUO2 RH Statistika","[Rizici].[hSkupineRiziciOsiguranja].[Rizik].&amp;[10]")</f>
        <v>02.02 DOPUNSKO OSIG. RAZLIKE IZNAD VRIJEDNOSTI ZDRAV. USLUGA OBV. ZDR. OS.</v>
      </c>
      <c r="D20" s="14" t="s">
        <v>58</v>
      </c>
      <c r="F20" s="3" t="str" vm="37">
        <f>CUBEMEMBER("KRK HUO2 RH Statistika","[Rizici].[hSkupineRiziciOsiguranja].[Vrsta osiguranja].&amp;[13]")</f>
        <v>13 OSTALA OSIGURANJA OD ODGOVORNOSTI</v>
      </c>
      <c r="G20" vm="216">
        <f t="shared" si="0"/>
        <v>6037875876.8999949</v>
      </c>
    </row>
    <row r="21" spans="1:10" x14ac:dyDescent="0.3">
      <c r="A21" s="3" t="str" vm="62">
        <f>CUBEMEMBER("KRK HUO2 RH Statistika","[Vrste osiguranja].[hSkupineVrsteOsiguranja].[Vrsta osiguranja].&amp;[14]")</f>
        <v>14 OSIGURANJE KREDITA</v>
      </c>
      <c r="C21" s="5" t="str" vm="169">
        <f>CUBEMEMBER("KRK HUO2 RH Statistika","[Rizici].[hSkupineRiziciOsiguranja].[Rizik].&amp;[12]")</f>
        <v>02.04 DOP. ZDR. OS. VEĆEGA STANDARDA ZDR. USLUGA OD ODREĐENOG ZAKONOM O ZD.O</v>
      </c>
      <c r="D21" s="13" t="s">
        <v>59</v>
      </c>
      <c r="F21" s="3" t="str" vm="42">
        <f>CUBEMEMBER("KRK HUO2 RH Statistika","[Rizici].[hSkupineRiziciOsiguranja].[Vrsta osiguranja].&amp;[14]")</f>
        <v>14 OSIGURANJE KREDITA</v>
      </c>
      <c r="G21" vm="202">
        <f t="shared" si="0"/>
        <v>2714883209.2600017</v>
      </c>
    </row>
    <row r="22" spans="1:10" x14ac:dyDescent="0.3">
      <c r="A22" s="3" t="str" vm="55">
        <f>CUBEMEMBER("KRK HUO2 RH Statistika","[Vrste osiguranja].[hSkupineVrsteOsiguranja].[Vrsta osiguranja].&amp;[15]")</f>
        <v>15 OSIGURANJE JAMSTVA</v>
      </c>
      <c r="C22" s="5" t="str" vm="146">
        <f>CUBEMEMBER("KRK HUO2 RH Statistika","[Rizici].[hSkupineRiziciOsiguranja].[Rizik].&amp;[14]")</f>
        <v>02.06 PRIVATNO ZDRAVSTVENO OSIGURANJE</v>
      </c>
      <c r="D22" s="11" t="s">
        <v>60</v>
      </c>
      <c r="F22" s="3" t="str" vm="33">
        <f>CUBEMEMBER("KRK HUO2 RH Statistika","[Rizici].[hSkupineRiziciOsiguranja].[Vrsta osiguranja].&amp;[15]")</f>
        <v>15 OSIGURANJE JAMSTVA</v>
      </c>
      <c r="G22" vm="217">
        <f t="shared" si="0"/>
        <v>110496906.43000005</v>
      </c>
    </row>
    <row r="23" spans="1:10" x14ac:dyDescent="0.3">
      <c r="A23" s="3" t="str" vm="75">
        <f>CUBEMEMBER("KRK HUO2 RH Statistika","[Vrste osiguranja].[hSkupineVrsteOsiguranja].[Vrsta osiguranja].&amp;[16]")</f>
        <v>16 OSIGURANJE RAZNIH FINANCIJSKIH GUBITAKA</v>
      </c>
      <c r="C23" s="5" t="str" vm="124">
        <f>CUBEMEMBER("KRK HUO2 RH Statistika","[Rizici].[hSkupineRiziciOsiguranja].[Rizik].&amp;[15]")</f>
        <v>02.99 OSTALA DRAGOVOLJNA ZDRAVSTVENA OSIGURANJA</v>
      </c>
      <c r="F23" s="3" t="str" vm="49">
        <f>CUBEMEMBER("KRK HUO2 RH Statistika","[Rizici].[hSkupineRiziciOsiguranja].[Vrsta osiguranja].&amp;[16]")</f>
        <v>16 OSIGURANJE RAZNIH FINANCIJSKIH GUBITAKA</v>
      </c>
      <c r="G23" vm="201">
        <f t="shared" si="0"/>
        <v>1670624060.4699979</v>
      </c>
    </row>
    <row r="24" spans="1:10" x14ac:dyDescent="0.3">
      <c r="A24" s="3" t="str" vm="68">
        <f>CUBEMEMBER("KRK HUO2 RH Statistika","[Vrste osiguranja].[hSkupineVrsteOsiguranja].[Vrsta osiguranja].&amp;[17]")</f>
        <v>17 OSIGURANJE TROŠKOVA PRAVNE ZAŠTITE</v>
      </c>
      <c r="C24" s="3" t="str" vm="45">
        <f>CUBEMEMBER("KRK HUO2 RH Statistika","[Rizici].[hSkupineRiziciOsiguranja].[Vrsta osiguranja].&amp;[2]")</f>
        <v>02 ZDRAVSTVENO OSIGURANJE</v>
      </c>
      <c r="F24" s="3" t="str" vm="46">
        <f>CUBEMEMBER("KRK HUO2 RH Statistika","[Rizici].[hSkupineRiziciOsiguranja].[Vrsta osiguranja].&amp;[17]")</f>
        <v>17 OSIGURANJE TROŠKOVA PRAVNE ZAŠTITE</v>
      </c>
      <c r="G24" vm="218">
        <f t="shared" si="0"/>
        <v>70553285.640000015</v>
      </c>
    </row>
    <row r="25" spans="1:10" x14ac:dyDescent="0.3">
      <c r="A25" s="3" t="str" vm="61">
        <f>CUBEMEMBER("KRK HUO2 RH Statistika","[Vrste osiguranja].[hSkupineVrsteOsiguranja].[Vrsta osiguranja].&amp;[18]")</f>
        <v>18 PUTNO OSIGURANJE</v>
      </c>
      <c r="C25" s="3" t="str" vm="36">
        <f>CUBEMEMBER("KRK HUO2 RH Statistika","[Rizici].[hSkupineRiziciOsiguranja].[Vrsta osiguranja].&amp;[3]")</f>
        <v>03 OSIGURANJE CESTOVNIH VOZILA - KASKO</v>
      </c>
      <c r="F25" s="3" t="str" vm="41">
        <f>CUBEMEMBER("KRK HUO2 RH Statistika","[Rizici].[hSkupineRiziciOsiguranja].[Vrsta osiguranja].&amp;[18]")</f>
        <v>18 PUTNO OSIGURANJE</v>
      </c>
      <c r="G25" vm="200">
        <f t="shared" si="0"/>
        <v>936875868.40999985</v>
      </c>
    </row>
    <row r="26" spans="1:10" x14ac:dyDescent="0.3">
      <c r="A26" s="2" t="str" vm="54">
        <f>CUBEMEMBER("KRK HUO2 RH Statistika","[Vrste osiguranja].[hSkupineVrsteOsiguranja].[Skupina osiguranja].&amp;[2]")</f>
        <v>Život</v>
      </c>
      <c r="C26" s="5" t="str" vm="168">
        <f>CUBEMEMBER("KRK HUO2 RH Statistika","[Rizici].[hSkupineRiziciOsiguranja].[Rizik].&amp;[16]")</f>
        <v>03.01 KASKO OSIGURANJE CESTOVNIH MOTORNIH VOZILA NA VLASTITI POGON</v>
      </c>
      <c r="F26" s="2" t="str" vm="32">
        <f>CUBEMEMBER("KRK HUO2 RH Statistika","[Rizici].[hSkupineRiziciOsiguranja].[Skupina osiguranja].&amp;[2]")</f>
        <v>Život</v>
      </c>
      <c r="G26" vm="219">
        <f t="shared" si="0"/>
        <v>53574044213.570053</v>
      </c>
    </row>
    <row r="27" spans="1:10" x14ac:dyDescent="0.3">
      <c r="A27" s="3" t="str" vm="74">
        <f>CUBEMEMBER("KRK HUO2 RH Statistika","[Vrste osiguranja].[hSkupineVrsteOsiguranja].[Vrsta osiguranja].&amp;[19]")</f>
        <v>19 ŽIVOTNO OSIGURANJE</v>
      </c>
      <c r="C27" s="5" t="str" vm="145">
        <f>CUBEMEMBER("KRK HUO2 RH Statistika","[Rizici].[hSkupineRiziciOsiguranja].[Rizik].&amp;[17]")</f>
        <v>03.02 KASKO OSIGURANJE CESTOVNIH VOZILA BEZ VLASTITOG POGONA</v>
      </c>
      <c r="F27" s="3" t="str" vm="199">
        <f>CUBEMEMBER("KRK HUO2 RH Statistika","[Rizici].[hSkupineRiziciOsiguranja].[Vrsta osiguranja].&amp;[19]")</f>
        <v>19 ŽIVOTNO OSIGURANJE</v>
      </c>
      <c r="G27" vm="247">
        <f t="shared" si="0"/>
        <v>46116885184.880043</v>
      </c>
    </row>
    <row r="28" spans="1:10" x14ac:dyDescent="0.3">
      <c r="A28" s="3" t="str" vm="67">
        <f>CUBEMEMBER("KRK HUO2 RH Statistika","[Vrste osiguranja].[hSkupineVrsteOsiguranja].[Vrsta osiguranja].&amp;[20]")</f>
        <v>20 RENTNO OSIGURANJE</v>
      </c>
      <c r="C28" s="5" t="str" vm="123">
        <f>CUBEMEMBER("KRK HUO2 RH Statistika","[Rizici].[hSkupineRiziciOsiguranja].[Rizik].&amp;[18]")</f>
        <v>03.99 OSTALA KASKO OSIGURANJA CESTOVNIH VOZILA</v>
      </c>
      <c r="F28" s="5" t="str" vm="185">
        <f>CUBEMEMBER("KRK HUO2 RH Statistika","[Rizici].[hSkupineRiziciOsiguranja].[Rizik].&amp;[96]")</f>
        <v>19.01 OSIGURANJE ŽIVOTA ZA SLUČAJ SMRTI I DOŽIVLJENJA (MJEŠOVITO OSIGURANJE)</v>
      </c>
      <c r="G28" vm="233">
        <f t="shared" si="0"/>
        <v>39147890668.23999</v>
      </c>
    </row>
    <row r="29" spans="1:10" x14ac:dyDescent="0.3">
      <c r="A29" s="3" t="str" vm="60">
        <f>CUBEMEMBER("KRK HUO2 RH Statistika","[Vrste osiguranja].[hSkupineVrsteOsiguranja].[Vrsta osiguranja].&amp;[21]")</f>
        <v>21 DODATNA OSIGURANJA UZ ŽIVOTNO OSIGURANJE</v>
      </c>
      <c r="C29" s="3" t="str" vm="51">
        <f>CUBEMEMBER("KRK HUO2 RH Statistika","[Rizici].[hSkupineRiziciOsiguranja].[Vrsta osiguranja].&amp;[4]")</f>
        <v>04 OSIGURANJE TRAČNIH VOZILA - KASKO</v>
      </c>
      <c r="F29" s="5" t="str" vm="198">
        <f>CUBEMEMBER("KRK HUO2 RH Statistika","[Rizici].[hSkupineRiziciOsiguranja].[Rizik].&amp;[97]")</f>
        <v>19.02 OSIGURANJE ZA SLUČAJ SMRTI</v>
      </c>
      <c r="G29" vm="246">
        <f t="shared" si="0"/>
        <v>1589113012.4700007</v>
      </c>
    </row>
    <row r="30" spans="1:10" x14ac:dyDescent="0.3">
      <c r="A30" s="3" t="str" vm="53">
        <f>CUBEMEMBER("KRK HUO2 RH Statistika","[Vrste osiguranja].[hSkupineVrsteOsiguranja].[Vrsta osiguranja].&amp;[22]")</f>
        <v>22 OSIGURANJE ZA SLUČAJ VJENČANJA ILI ROĐENJA</v>
      </c>
      <c r="C30" s="5" t="str" vm="167">
        <f>CUBEMEMBER("KRK HUO2 RH Statistika","[Rizici].[hSkupineRiziciOsiguranja].[Rizik].&amp;[19]")</f>
        <v>04.01 KASKO OSIGURANJE TRAČNIH VOZILA</v>
      </c>
      <c r="F30" s="5" t="str" vm="184">
        <f>CUBEMEMBER("KRK HUO2 RH Statistika","[Rizici].[hSkupineRiziciOsiguranja].[Rizik].&amp;[98]")</f>
        <v>19.03 OSIGURANJE ZA SLUČAJ DOŽIVLJENJA</v>
      </c>
      <c r="G30" vm="232">
        <f t="shared" si="0"/>
        <v>1241653860.8799992</v>
      </c>
    </row>
    <row r="31" spans="1:10" x14ac:dyDescent="0.3">
      <c r="A31" s="3" t="str" vm="73">
        <f>CUBEMEMBER("KRK HUO2 RH Statistika","[Vrste osiguranja].[hSkupineVrsteOsiguranja].[Vrsta osiguranja].&amp;[23]")</f>
        <v>23 ŽIVOTNA ILI RENTNA OSIGURANJA KOD KOJIH OSIGURANIK NA SEBE PREUZIMA INVESTICIJSKI RIZIK</v>
      </c>
      <c r="C31" s="3" t="str" vm="38">
        <f>CUBEMEMBER("KRK HUO2 RH Statistika","[Rizici].[hSkupineRiziciOsiguranja].[Vrsta osiguranja].&amp;[5]")</f>
        <v>05 OSIGURANJE ZRAČNIH LETJELICA - KASKO</v>
      </c>
      <c r="F31" s="5" t="str" vm="197">
        <f>CUBEMEMBER("KRK HUO2 RH Statistika","[Rizici].[hSkupineRiziciOsiguranja].[Rizik].&amp;[99]")</f>
        <v>19.04 DOŽIVOTNO OSIGURANJE ZA SLUČAJ SMRTI</v>
      </c>
      <c r="G31" vm="245">
        <f t="shared" si="0"/>
        <v>1626127612.8999999</v>
      </c>
    </row>
    <row r="32" spans="1:10" x14ac:dyDescent="0.3">
      <c r="A32" s="3" t="str" vm="66">
        <f>CUBEMEMBER("KRK HUO2 RH Statistika","[Vrste osiguranja].[hSkupineVrsteOsiguranja].[Vrsta osiguranja].&amp;[24]")</f>
        <v>24 TONTINE</v>
      </c>
      <c r="C32" s="5" t="str" vm="122">
        <f>CUBEMEMBER("KRK HUO2 RH Statistika","[Rizici].[hSkupineRiziciOsiguranja].[Rizik].&amp;[20]")</f>
        <v>05.01 KASKO OSIGURANJE ZRAČNIH LETJELICA</v>
      </c>
      <c r="F32" s="5" t="str" vm="183">
        <f>CUBEMEMBER("KRK HUO2 RH Statistika","[Rizici].[hSkupineRiziciOsiguranja].[Rizik].&amp;[100]")</f>
        <v>19.05 OSIGURANJE KRITIČNIH BOLESTI</v>
      </c>
      <c r="G32" vm="231">
        <f t="shared" si="0"/>
        <v>1990867728.5199997</v>
      </c>
    </row>
    <row r="33" spans="1:7" x14ac:dyDescent="0.3">
      <c r="A33" s="3" t="str" vm="59">
        <f>CUBEMEMBER("KRK HUO2 RH Statistika","[Vrste osiguranja].[hSkupineVrsteOsiguranja].[Vrsta osiguranja].&amp;[25]")</f>
        <v>25 OSIGURANJE S KAPITALIZACIJOM ISPLATE</v>
      </c>
      <c r="C33" s="5" t="str" vm="97">
        <f>CUBEMEMBER("KRK HUO2 RH Statistika","[Rizici].[hSkupineRiziciOsiguranja].[Rizik].&amp;[21]")</f>
        <v>05.02 KASKO OSIGURANJE ZRAČNIH PLOVILA</v>
      </c>
      <c r="F33" s="5" t="str" vm="196">
        <f>CUBEMEMBER("KRK HUO2 RH Statistika","[Rizici].[hSkupineRiziciOsiguranja].[Rizik].&amp;[108]")</f>
        <v>19.99 OSTALA OSIGURANJA ŽIVOTA</v>
      </c>
      <c r="G33" vm="244">
        <f t="shared" si="0"/>
        <v>521232301.86999989</v>
      </c>
    </row>
    <row r="34" spans="1:7" x14ac:dyDescent="0.3">
      <c r="A34" s="2" t="str" vm="52">
        <f>CUBEMEMBER("KRK HUO2 RH Statistika","[Vrste osiguranja].[hSkupineVrsteOsiguranja].[Sve]","Grand Total")</f>
        <v>Grand Total</v>
      </c>
      <c r="C34" s="3" t="str" vm="44">
        <f>CUBEMEMBER("KRK HUO2 RH Statistika","[Rizici].[hSkupineRiziciOsiguranja].[Vrsta osiguranja].&amp;[6]")</f>
        <v>06 OSIGURANJE PLOVILA</v>
      </c>
      <c r="F34" s="3" t="str" vm="182">
        <f>CUBEMEMBER("KRK HUO2 RH Statistika","[Rizici].[hSkupineRiziciOsiguranja].[Vrsta osiguranja].&amp;[20]")</f>
        <v>20 RENTNO OSIGURANJE</v>
      </c>
      <c r="G34" vm="230">
        <f t="shared" si="0"/>
        <v>203058407.94000006</v>
      </c>
    </row>
    <row r="35" spans="1:7" x14ac:dyDescent="0.3">
      <c r="C35" s="5" t="str" vm="144">
        <f>CUBEMEMBER("KRK HUO2 RH Statistika","[Rizici].[hSkupineRiziciOsiguranja].[Rizik].&amp;[22]")</f>
        <v>06.01 KASKO OSIGURANJE BRODOVA I BRODICA U POMORSKOJ PLOVIDBI</v>
      </c>
      <c r="F35" s="5" t="str" vm="195">
        <f>CUBEMEMBER("KRK HUO2 RH Statistika","[Rizici].[hSkupineRiziciOsiguranja].[Rizik].&amp;[109]")</f>
        <v>20.01 OSIGURANJE OSOBNE DOŽIVOTNE RENTE</v>
      </c>
      <c r="G35" vm="243">
        <f t="shared" si="0"/>
        <v>131003204.53000011</v>
      </c>
    </row>
    <row r="36" spans="1:7" x14ac:dyDescent="0.3">
      <c r="C36" s="5" t="str" vm="121">
        <f>CUBEMEMBER("KRK HUO2 RH Statistika","[Rizici].[hSkupineRiziciOsiguranja].[Rizik].&amp;[23]")</f>
        <v>06.02 KASKO OSIGURANJE BRODOVA I ČAMACA U RIJEČNOJ PLOVIDBI</v>
      </c>
      <c r="F36" s="5" t="str" vm="181">
        <f>CUBEMEMBER("KRK HUO2 RH Statistika","[Rizici].[hSkupineRiziciOsiguranja].[Rizik].&amp;[110]")</f>
        <v>20.02 OSIGURANJE OSOBNE RENTE S ODREĐENIM TRAJANJEM</v>
      </c>
      <c r="G36" vm="229">
        <f t="shared" si="0"/>
        <v>69050210.51000002</v>
      </c>
    </row>
    <row r="37" spans="1:7" x14ac:dyDescent="0.3">
      <c r="C37" s="5" t="str" vm="96">
        <f>CUBEMEMBER("KRK HUO2 RH Statistika","[Rizici].[hSkupineRiziciOsiguranja].[Rizik].&amp;[24]")</f>
        <v>06.03 KASKO OSIGURANJE BRODOVA I ČAMACA U JEZERSKOJ PLOVIDBI</v>
      </c>
      <c r="F37" s="5" t="str" vm="194">
        <f>CUBEMEMBER("KRK HUO2 RH Statistika","[Rizici].[hSkupineRiziciOsiguranja].[Rizik].&amp;[111]")</f>
        <v>20.99 OSTALA RENTNA OSIGURANJA</v>
      </c>
      <c r="G37" vm="242">
        <f t="shared" si="0"/>
        <v>3004992.9</v>
      </c>
    </row>
    <row r="38" spans="1:7" x14ac:dyDescent="0.3">
      <c r="C38" s="5" t="str" vm="166">
        <f>CUBEMEMBER("KRK HUO2 RH Statistika","[Rizici].[hSkupineRiziciOsiguranja].[Rizik].&amp;[25]")</f>
        <v>06.04 KASKO OSIGURANJE BRODOVA U IZGRADNJI</v>
      </c>
      <c r="F38" s="3" t="str" vm="180">
        <f>CUBEMEMBER("KRK HUO2 RH Statistika","[Rizici].[hSkupineRiziciOsiguranja].[Vrsta osiguranja].&amp;[21]")</f>
        <v>21 DODATNA OSIGURANJA UZ ŽIVOTNO OSIGURANJE</v>
      </c>
      <c r="G38" vm="228">
        <f t="shared" si="0"/>
        <v>3454248899.2000017</v>
      </c>
    </row>
    <row r="39" spans="1:7" x14ac:dyDescent="0.3">
      <c r="C39" s="5" t="str" vm="143">
        <f>CUBEMEMBER("KRK HUO2 RH Statistika","[Rizici].[hSkupineRiziciOsiguranja].[Rizik].&amp;[26]")</f>
        <v>06.05 KASKO OSIGURANJE PLATFORMI</v>
      </c>
      <c r="F39" s="5" t="str" vm="193">
        <f>CUBEMEMBER("KRK HUO2 RH Statistika","[Rizici].[hSkupineRiziciOsiguranja].[Rizik].&amp;[112]")</f>
        <v>21.01 DOPUNSKO OSIGURANJE OD POSLJEDICA NEZGODE UZ OSIGURANJE ŽIVOTA</v>
      </c>
      <c r="G39" vm="241">
        <f t="shared" si="0"/>
        <v>3216374316.6200013</v>
      </c>
    </row>
    <row r="40" spans="1:7" x14ac:dyDescent="0.3">
      <c r="C40" s="5" t="str" vm="120">
        <f>CUBEMEMBER("KRK HUO2 RH Statistika","[Rizici].[hSkupineRiziciOsiguranja].[Rizik].&amp;[27]")</f>
        <v>06.99 OSTALA KASKO OSIGURANJA PLOVILA</v>
      </c>
      <c r="F40" s="5" t="str" vm="179">
        <f>CUBEMEMBER("KRK HUO2 RH Statistika","[Rizici].[hSkupineRiziciOsiguranja].[Rizik].&amp;[113]")</f>
        <v>21.02 DOPUNSKO ZDRAVSTVENO OSIGURANJE UZ OSIGURANJE ŽIVOTA</v>
      </c>
      <c r="G40" vm="227">
        <f t="shared" si="0"/>
        <v>11596623.890000001</v>
      </c>
    </row>
    <row r="41" spans="1:7" x14ac:dyDescent="0.3">
      <c r="C41" s="3" t="str" vm="35">
        <f>CUBEMEMBER("KRK HUO2 RH Statistika","[Rizici].[hSkupineRiziciOsiguranja].[Vrsta osiguranja].&amp;[7]")</f>
        <v>07 OSIGURANJE ROBE U PRIJEVOZU</v>
      </c>
      <c r="F41" s="5" t="str" vm="192">
        <f>CUBEMEMBER("KRK HUO2 RH Statistika","[Rizici].[hSkupineRiziciOsiguranja].[Rizik].&amp;[114]")</f>
        <v>21.99 OSTALA DOPUNSKA OSIGURANJA UZ OSIGURANJE ŽIVOTA</v>
      </c>
      <c r="G41" vm="240">
        <f t="shared" si="0"/>
        <v>226277958.69000009</v>
      </c>
    </row>
    <row r="42" spans="1:7" x14ac:dyDescent="0.3">
      <c r="C42" s="5" t="str" vm="165">
        <f>CUBEMEMBER("KRK HUO2 RH Statistika","[Rizici].[hSkupineRiziciOsiguranja].[Rizik].&amp;[28]")</f>
        <v>07.01 OSIGURANJE ROBE U POMORSKOM PRIJEVOZU</v>
      </c>
      <c r="F42" s="3" t="str" vm="178">
        <f>CUBEMEMBER("KRK HUO2 RH Statistika","[Rizici].[hSkupineRiziciOsiguranja].[Vrsta osiguranja].&amp;[22]")</f>
        <v>22 OSIGURANJE ZA SLUČAJ VJENČANJA ILI ROĐENJA</v>
      </c>
      <c r="G42" vm="226">
        <f t="shared" si="0"/>
        <v>201311750.89000005</v>
      </c>
    </row>
    <row r="43" spans="1:7" x14ac:dyDescent="0.3">
      <c r="C43" s="5" t="str" vm="142">
        <f>CUBEMEMBER("KRK HUO2 RH Statistika","[Rizici].[hSkupineRiziciOsiguranja].[Rizik].&amp;[29]")</f>
        <v>07.02 OSIGURANJE ROBE U AVIONSKOM PRIJEVOZU</v>
      </c>
      <c r="F43" s="5" t="str" vm="191">
        <f>CUBEMEMBER("KRK HUO2 RH Statistika","[Rizici].[hSkupineRiziciOsiguranja].[Rizik].&amp;[115]")</f>
        <v>22.01 OSIGURANJE ZA SLUČAJ VJENČANJA ILI ROĐENJA</v>
      </c>
      <c r="G43" vm="239">
        <f t="shared" si="0"/>
        <v>201311750.89000005</v>
      </c>
    </row>
    <row r="44" spans="1:7" x14ac:dyDescent="0.3">
      <c r="C44" s="5" t="str" vm="119">
        <f>CUBEMEMBER("KRK HUO2 RH Statistika","[Rizici].[hSkupineRiziciOsiguranja].[Rizik].&amp;[30]")</f>
        <v>07.03 OSIGURANJE ROBE U KOPNENOM PRIJEVOZU</v>
      </c>
      <c r="F44" s="3" t="str" vm="177">
        <f>CUBEMEMBER("KRK HUO2 RH Statistika","[Rizici].[hSkupineRiziciOsiguranja].[Vrsta osiguranja].&amp;[23]")</f>
        <v>23 ŽIVOTNA ILI RENTNA OSIGURANJA KOD KOJIH OSIGURANIK NA SEBE PREUZIMA INVESTICIJSKI RIZIK</v>
      </c>
      <c r="G44" vm="225">
        <f t="shared" si="0"/>
        <v>3598539970.6599998</v>
      </c>
    </row>
    <row r="45" spans="1:7" x14ac:dyDescent="0.3">
      <c r="C45" s="5" t="str" vm="95">
        <f>CUBEMEMBER("KRK HUO2 RH Statistika","[Rizici].[hSkupineRiziciOsiguranja].[Rizik].&amp;[31]")</f>
        <v>07.04 OSIGURANJE ROBE ZA VRIJEME USKLADIŠTENJA</v>
      </c>
      <c r="F45" s="5" t="str" vm="190">
        <f>CUBEMEMBER("KRK HUO2 RH Statistika","[Rizici].[hSkupineRiziciOsiguranja].[Rizik].&amp;[116]")</f>
        <v>23.01 OSIG. ŽIVOTA ZA SLUČAJ SMRTI I DOŽIVLJENJA KOD KOJEG OSIGURANIK NA SEBE PREUZIMA INV. RIZIK</v>
      </c>
      <c r="G45" vm="238">
        <f t="shared" si="0"/>
        <v>1803986167.0299997</v>
      </c>
    </row>
    <row r="46" spans="1:7" x14ac:dyDescent="0.3">
      <c r="C46" s="5" t="str" vm="164">
        <f>CUBEMEMBER("KRK HUO2 RH Statistika","[Rizici].[hSkupineRiziciOsiguranja].[Rizik].&amp;[32]")</f>
        <v>07.99 OSTALA OSIGURANJA ROBE U PRIJEVOZU</v>
      </c>
      <c r="F46" s="5" t="str" vm="176">
        <f>CUBEMEMBER("KRK HUO2 RH Statistika","[Rizici].[hSkupineRiziciOsiguranja].[Rizik].&amp;[117]")</f>
        <v>23.02 OSIGURANJE ZA SLUČAJ SMRTI KOD KOJEG OSIGURANIK NA SEBE PREUZIMA INVESTICIJSKI RIZIK</v>
      </c>
      <c r="G46" vm="224">
        <f t="shared" si="0"/>
        <v>32252487.84</v>
      </c>
    </row>
    <row r="47" spans="1:7" x14ac:dyDescent="0.3">
      <c r="C47" s="3" t="str" vm="50">
        <f>CUBEMEMBER("KRK HUO2 RH Statistika","[Rizici].[hSkupineRiziciOsiguranja].[Vrsta osiguranja].&amp;[8]")</f>
        <v>08 OSIGURANJE OD POŽARA I ELEMENTARNIH ŠTETA</v>
      </c>
      <c r="F47" s="5" t="str" vm="189">
        <f>CUBEMEMBER("KRK HUO2 RH Statistika","[Rizici].[hSkupineRiziciOsiguranja].[Rizik].&amp;[118]")</f>
        <v>23.03 OSIGURANJE ZA SLUČAJ DOŽIVLJENJA KOD KOJEG OSIGURANIK NA SEBE PREUZIMA INVESTICIJSKI RIZIK</v>
      </c>
      <c r="G47" vm="237">
        <f t="shared" si="0"/>
        <v>7.2759576141834259E-12</v>
      </c>
    </row>
    <row r="48" spans="1:7" x14ac:dyDescent="0.3">
      <c r="C48" s="5" t="str" vm="118">
        <f>CUBEMEMBER("KRK HUO2 RH Statistika","[Rizici].[hSkupineRiziciOsiguranja].[Rizik].&amp;[33]")</f>
        <v>08.01 OSIGURANJE OD POŽARA I ELEMENTARNIH NEPOGODA IZVAN INDUSTRIJE I OBRTA</v>
      </c>
      <c r="F48" s="5" t="str" vm="175">
        <f>CUBEMEMBER("KRK HUO2 RH Statistika","[Rizici].[hSkupineRiziciOsiguranja].[Rizik].&amp;[119]")</f>
        <v>23.04 ŽIVOTNO OSIGURANJE KOD KOJEG OSIGURANIK NA SEBE PREUZIMA INVESTICIJSKI RIZIK S GARANCIJOM ISPLATE</v>
      </c>
      <c r="G48" vm="223">
        <f t="shared" si="0"/>
        <v>1171800542.8300004</v>
      </c>
    </row>
    <row r="49" spans="3:7" x14ac:dyDescent="0.3">
      <c r="C49" s="5" t="str" vm="94">
        <f>CUBEMEMBER("KRK HUO2 RH Statistika","[Rizici].[hSkupineRiziciOsiguranja].[Rizik].&amp;[34]")</f>
        <v>08.02 OSIGURANJE OD POŽARA I ELEMENTARNIH NEPOGODA U INDUSTRIJI I OBRTU</v>
      </c>
      <c r="F49" s="5" t="str" vm="188">
        <f>CUBEMEMBER("KRK HUO2 RH Statistika","[Rizici].[hSkupineRiziciOsiguranja].[Rizik].&amp;[120]")</f>
        <v>23.99 OSTALA ŽIVOTNA OSIGURANJA KOD KOJIH OSIGURANIK NA SEBE PREUZIMA INVESTICIJSKI RIZIK</v>
      </c>
      <c r="G49" vm="236">
        <f t="shared" si="0"/>
        <v>590500772.95999992</v>
      </c>
    </row>
    <row r="50" spans="3:7" x14ac:dyDescent="0.3">
      <c r="C50" s="5" t="str" vm="163">
        <f>CUBEMEMBER("KRK HUO2 RH Statistika","[Rizici].[hSkupineRiziciOsiguranja].[Rizik].&amp;[35]")</f>
        <v>08.99 OSTALA OSIGURANJA OD POŽARA I ELEMENTARNIH NEPOGODA</v>
      </c>
      <c r="F50" s="3" t="str" vm="174">
        <f>CUBEMEMBER("KRK HUO2 RH Statistika","[Rizici].[hSkupineRiziciOsiguranja].[Vrsta osiguranja].&amp;[24]")</f>
        <v>24 TONTINE</v>
      </c>
      <c r="G50" vm="222">
        <f t="shared" si="0"/>
        <v>0</v>
      </c>
    </row>
    <row r="51" spans="3:7" x14ac:dyDescent="0.3">
      <c r="C51" s="3" t="str" vm="47">
        <f>CUBEMEMBER("KRK HUO2 RH Statistika","[Rizici].[hSkupineRiziciOsiguranja].[Vrsta osiguranja].&amp;[9]")</f>
        <v>09 OSTALA OSIGURANJA IMOVINE</v>
      </c>
      <c r="F51" s="5" t="str" vm="187">
        <f>CUBEMEMBER("KRK HUO2 RH Statistika","[Rizici].[hSkupineRiziciOsiguranja].[Rizik].&amp;[121]")</f>
        <v>24.01 TONTINE</v>
      </c>
      <c r="G51" vm="235">
        <f t="shared" si="0"/>
        <v>0</v>
      </c>
    </row>
    <row r="52" spans="3:7" x14ac:dyDescent="0.3">
      <c r="C52" s="5" t="str" vm="117">
        <f>CUBEMEMBER("KRK HUO2 RH Statistika","[Rizici].[hSkupineRiziciOsiguranja].[Rizik].&amp;[36]")</f>
        <v>09.01 OSIGURANJE STROJEVA OD LOMA</v>
      </c>
      <c r="F52" s="3" t="str" vm="173">
        <f>CUBEMEMBER("KRK HUO2 RH Statistika","[Rizici].[hSkupineRiziciOsiguranja].[Vrsta osiguranja].&amp;[25]")</f>
        <v>25 OSIGURANJE S KAPITALIZACIJOM ISPLATE</v>
      </c>
      <c r="G52" vm="221">
        <f t="shared" si="0"/>
        <v>0</v>
      </c>
    </row>
    <row r="53" spans="3:7" x14ac:dyDescent="0.3">
      <c r="C53" s="5" t="str" vm="93">
        <f>CUBEMEMBER("KRK HUO2 RH Statistika","[Rizici].[hSkupineRiziciOsiguranja].[Rizik].&amp;[37]")</f>
        <v>09.02 OSIGURANJE OD PROVALNE KRAĐE I RAZBOJSTVA</v>
      </c>
      <c r="F53" s="5" t="str" vm="186">
        <f>CUBEMEMBER("KRK HUO2 RH Statistika","[Rizici].[hSkupineRiziciOsiguranja].[Rizik].&amp;[122]")</f>
        <v>25.01 OSIGURANJE S KAPITALIZACIJOM ISPLATE</v>
      </c>
      <c r="G53" vm="234">
        <f t="shared" si="0"/>
        <v>0</v>
      </c>
    </row>
    <row r="54" spans="3:7" x14ac:dyDescent="0.3">
      <c r="C54" s="5" t="str" vm="162">
        <f>CUBEMEMBER("KRK HUO2 RH Statistika","[Rizici].[hSkupineRiziciOsiguranja].[Rizik].&amp;[38]")</f>
        <v>09.03 OSIGURANJE STAKLA OD LOMA</v>
      </c>
      <c r="F54" s="2" t="str" vm="31">
        <f>CUBEMEMBER("KRK HUO2 RH Statistika","[Rizici].[hSkupineRiziciOsiguranja].[Sve]","Grand Total")</f>
        <v>Grand Total</v>
      </c>
      <c r="G54" vm="220">
        <f t="shared" si="0"/>
        <v>197329907633.73907</v>
      </c>
    </row>
    <row r="55" spans="3:7" x14ac:dyDescent="0.3">
      <c r="C55" s="5" t="str" vm="141">
        <f>CUBEMEMBER("KRK HUO2 RH Statistika","[Rizici].[hSkupineRiziciOsiguranja].[Rizik].&amp;[39]")</f>
        <v>09.04 OSIGURANJE KUĆANSTVA</v>
      </c>
    </row>
    <row r="56" spans="3:7" x14ac:dyDescent="0.3">
      <c r="C56" s="5" t="str" vm="116">
        <f>CUBEMEMBER("KRK HUO2 RH Statistika","[Rizici].[hSkupineRiziciOsiguranja].[Rizik].&amp;[40]")</f>
        <v>09.05 OSIGURANJE GRAĐEVINSKIH OBJEKATA U IZGRADNJI</v>
      </c>
    </row>
    <row r="57" spans="3:7" x14ac:dyDescent="0.3">
      <c r="C57" s="5" t="str" vm="92">
        <f>CUBEMEMBER("KRK HUO2 RH Statistika","[Rizici].[hSkupineRiziciOsiguranja].[Rizik].&amp;[41]")</f>
        <v>09.06 OSIGURANJE OBJEKATA U MONTAŽI</v>
      </c>
    </row>
    <row r="58" spans="3:7" x14ac:dyDescent="0.3">
      <c r="C58" s="5" t="str" vm="161">
        <f>CUBEMEMBER("KRK HUO2 RH Statistika","[Rizici].[hSkupineRiziciOsiguranja].[Rizik].&amp;[42]")</f>
        <v>09.07 OSIGURANJE FILMSKE DJELATNOSTI</v>
      </c>
    </row>
    <row r="59" spans="3:7" x14ac:dyDescent="0.3">
      <c r="C59" s="5" t="str" vm="140">
        <f>CUBEMEMBER("KRK HUO2 RH Statistika","[Rizici].[hSkupineRiziciOsiguranja].[Rizik].&amp;[43]")</f>
        <v>09.08 OSIGURANJE STVARI U RUDARSKIM JAMAMA</v>
      </c>
    </row>
    <row r="60" spans="3:7" x14ac:dyDescent="0.3">
      <c r="C60" s="5" t="str" vm="115">
        <f>CUBEMEMBER("KRK HUO2 RH Statistika","[Rizici].[hSkupineRiziciOsiguranja].[Rizik].&amp;[44]")</f>
        <v>09.09 OSIGURANJE INFORMATIČKE OPREME</v>
      </c>
    </row>
    <row r="61" spans="3:7" x14ac:dyDescent="0.3">
      <c r="C61" s="5" t="str" vm="91">
        <f>CUBEMEMBER("KRK HUO2 RH Statistika","[Rizici].[hSkupineRiziciOsiguranja].[Rizik].&amp;[45]")</f>
        <v>09.10 OSIGURANJE ZALIHA U HLADNJAČAMA</v>
      </c>
    </row>
    <row r="62" spans="3:7" x14ac:dyDescent="0.3">
      <c r="C62" s="5" t="str" vm="160">
        <f>CUBEMEMBER("KRK HUO2 RH Statistika","[Rizici].[hSkupineRiziciOsiguranja].[Rizik].&amp;[46]")</f>
        <v>09.11 OSIGURANJE USJEVA I NASADA</v>
      </c>
    </row>
    <row r="63" spans="3:7" x14ac:dyDescent="0.3">
      <c r="C63" s="5" t="str" vm="139">
        <f>CUBEMEMBER("KRK HUO2 RH Statistika","[Rizici].[hSkupineRiziciOsiguranja].[Rizik].&amp;[47]")</f>
        <v>09.12 OSIGURANJE ŽIVOTINJA</v>
      </c>
    </row>
    <row r="64" spans="3:7" x14ac:dyDescent="0.3">
      <c r="C64" s="5" t="str" vm="114">
        <f>CUBEMEMBER("KRK HUO2 RH Statistika","[Rizici].[hSkupineRiziciOsiguranja].[Rizik].&amp;[48]")</f>
        <v>09.99 OSTALA OSIGURANJA IMOVINE</v>
      </c>
    </row>
    <row r="65" spans="3:3" x14ac:dyDescent="0.3">
      <c r="C65" s="3" t="str" vm="43">
        <f>CUBEMEMBER("KRK HUO2 RH Statistika","[Rizici].[hSkupineRiziciOsiguranja].[Vrsta osiguranja].&amp;[10]")</f>
        <v>10 OSIGURANJE OD ODGOVORNOSTI ZA UPOTREBU MOTORNIH VOZILA</v>
      </c>
    </row>
    <row r="66" spans="3:3" x14ac:dyDescent="0.3">
      <c r="C66" s="5" t="str" vm="159">
        <f>CUBEMEMBER("KRK HUO2 RH Statistika","[Rizici].[hSkupineRiziciOsiguranja].[Rizik].&amp;[49]")</f>
        <v>10.01 OBV. OSIG. VLASNIKA ODNOSNO KORISNIKA MOT. VOZILA OD ODG. ZA ŠTETE TREĆIM OSOBAMA</v>
      </c>
    </row>
    <row r="67" spans="3:3" x14ac:dyDescent="0.3">
      <c r="C67" s="5" t="str" vm="138">
        <f>CUBEMEMBER("KRK HUO2 RH Statistika","[Rizici].[hSkupineRiziciOsiguranja].[Rizik].&amp;[50]")</f>
        <v>10.02 DRAGOVOLJNO OSIG. VLASNIKA ODNOSNO KORISNIKA MOTORNIH VOZILA OD ODG. ZA ŠTETE TREĆIM OSOBAMA</v>
      </c>
    </row>
    <row r="68" spans="3:3" x14ac:dyDescent="0.3">
      <c r="C68" s="5" t="str" vm="113">
        <f>CUBEMEMBER("KRK HUO2 RH Statistika","[Rizici].[hSkupineRiziciOsiguranja].[Rizik].&amp;[51]")</f>
        <v>10.03 OSIG. OD ODGOVORNOSTI VOZARA ZA ROBU PRIMLJENU NA PRIJEVOZ U CESTOVNOM PROMETU</v>
      </c>
    </row>
    <row r="69" spans="3:3" x14ac:dyDescent="0.3">
      <c r="C69" s="5" t="str" vm="90">
        <f>CUBEMEMBER("KRK HUO2 RH Statistika","[Rizici].[hSkupineRiziciOsiguranja].[Rizik].&amp;[52]")</f>
        <v>10.99 OSTALA OSIGURANJA OD AUTOMOBILSKE ODGOVORNOSTI</v>
      </c>
    </row>
    <row r="70" spans="3:3" x14ac:dyDescent="0.3">
      <c r="C70" s="3" t="str" vm="34">
        <f>CUBEMEMBER("KRK HUO2 RH Statistika","[Rizici].[hSkupineRiziciOsiguranja].[Vrsta osiguranja].&amp;[11]")</f>
        <v>11 OSIGURANJE OD ODGOVORNOSTI ZA UPOTREBU ZRAČNIH LETJELICA</v>
      </c>
    </row>
    <row r="71" spans="3:3" x14ac:dyDescent="0.3">
      <c r="C71" s="5" t="str" vm="137">
        <f>CUBEMEMBER("KRK HUO2 RH Statistika","[Rizici].[hSkupineRiziciOsiguranja].[Rizik].&amp;[53]")</f>
        <v>11.01 OBV. OSIG. VLASNIKA ODNOSNO KORISNIKA ZRAČNIH LETJELICA OD ODG. ZA ŠTETE TREĆIM OSOBAMA</v>
      </c>
    </row>
    <row r="72" spans="3:3" x14ac:dyDescent="0.3">
      <c r="C72" s="5" t="str" vm="112">
        <f>CUBEMEMBER("KRK HUO2 RH Statistika","[Rizici].[hSkupineRiziciOsiguranja].[Rizik].&amp;[54]")</f>
        <v>11.02 OSIG. VLASNIKA ODN. KORIS. ZRAČNIH LETJELICA OD ODG. SVIH VRSTA</v>
      </c>
    </row>
    <row r="73" spans="3:3" x14ac:dyDescent="0.3">
      <c r="C73" s="3" t="str" vm="39">
        <f>CUBEMEMBER("KRK HUO2 RH Statistika","[Rizici].[hSkupineRiziciOsiguranja].[Vrsta osiguranja].&amp;[12]")</f>
        <v>12 OSIGURANJE OD ODGOVORNOSTI ZA UPOTREBU PLOVILA</v>
      </c>
    </row>
    <row r="74" spans="3:3" x14ac:dyDescent="0.3">
      <c r="C74" s="5" t="str" vm="158">
        <f>CUBEMEMBER("KRK HUO2 RH Statistika","[Rizici].[hSkupineRiziciOsiguranja].[Rizik].&amp;[55]")</f>
        <v>12.01 OSIG. OD ODG. VLASNIKA ODNOSNO KORISNIKA POMORSKIH BRODOVA</v>
      </c>
    </row>
    <row r="75" spans="3:3" x14ac:dyDescent="0.3">
      <c r="C75" s="5" t="str" vm="136">
        <f>CUBEMEMBER("KRK HUO2 RH Statistika","[Rizici].[hSkupineRiziciOsiguranja].[Rizik].&amp;[56]")</f>
        <v>12.02 OSIG. OD ODG. VLASNIKA ODNOSNO KORISNIKA RIJEČNIH I JEZERSKIH PLOVILA</v>
      </c>
    </row>
    <row r="76" spans="3:3" x14ac:dyDescent="0.3">
      <c r="C76" s="5" t="str" vm="111">
        <f>CUBEMEMBER("KRK HUO2 RH Statistika","[Rizici].[hSkupineRiziciOsiguranja].[Rizik].&amp;[57]")</f>
        <v>12.03 OBVEZNO OSIG. OD ODG. VLASNIKA ODNOSNO KORISNIKA BRODICA NA MOTORNI POGON ZA ŠTETE TREĆIM OSOBAMA</v>
      </c>
    </row>
    <row r="77" spans="3:3" x14ac:dyDescent="0.3">
      <c r="C77" s="5" t="str" vm="89">
        <f>CUBEMEMBER("KRK HUO2 RH Statistika","[Rizici].[hSkupineRiziciOsiguranja].[Rizik].&amp;[58]")</f>
        <v>12.99 OSTALA OSIGURANJA OD ODGOVORNOSTI ZA UPOTREBU PLOVILA</v>
      </c>
    </row>
    <row r="78" spans="3:3" x14ac:dyDescent="0.3">
      <c r="C78" s="3" t="str" vm="37">
        <f>CUBEMEMBER("KRK HUO2 RH Statistika","[Rizici].[hSkupineRiziciOsiguranja].[Vrsta osiguranja].&amp;[13]")</f>
        <v>13 OSTALA OSIGURANJA OD ODGOVORNOSTI</v>
      </c>
    </row>
    <row r="79" spans="3:3" x14ac:dyDescent="0.3">
      <c r="C79" s="5" t="str" vm="135">
        <f>CUBEMEMBER("KRK HUO2 RH Statistika","[Rizici].[hSkupineRiziciOsiguranja].[Rizik].&amp;[59]")</f>
        <v>13.01 OSIGURANJE UGOVORNE ODGOVORNOSTI IZVOĐAČA GRAĐEVINSKIH RADOVA</v>
      </c>
    </row>
    <row r="80" spans="3:3" x14ac:dyDescent="0.3">
      <c r="C80" s="5" t="str" vm="110">
        <f>CUBEMEMBER("KRK HUO2 RH Statistika","[Rizici].[hSkupineRiziciOsiguranja].[Rizik].&amp;[60]")</f>
        <v>13.02 OSIGURANJE UGOVORNE ODGOVORNOSTI IZVOĐAČA MONTAŽNIH RADOVA</v>
      </c>
    </row>
    <row r="81" spans="3:3" x14ac:dyDescent="0.3">
      <c r="C81" s="5" t="str" vm="88">
        <f>CUBEMEMBER("KRK HUO2 RH Statistika","[Rizici].[hSkupineRiziciOsiguranja].[Rizik].&amp;[61]")</f>
        <v>13.03 OSIGURANJE OD ODGOVORNOSTI PROIZVOĐAČA FILMOVA</v>
      </c>
    </row>
    <row r="82" spans="3:3" x14ac:dyDescent="0.3">
      <c r="C82" s="5" t="str" vm="157">
        <f>CUBEMEMBER("KRK HUO2 RH Statistika","[Rizici].[hSkupineRiziciOsiguranja].[Rizik].&amp;[62]")</f>
        <v>13.04 OSIGURANJE OD ODGOVORNOSTI PROIZVOĐAČA ZA PROIZVODE</v>
      </c>
    </row>
    <row r="83" spans="3:3" x14ac:dyDescent="0.3">
      <c r="C83" s="5" t="str" vm="134">
        <f>CUBEMEMBER("KRK HUO2 RH Statistika","[Rizici].[hSkupineRiziciOsiguranja].[Rizik].&amp;[63]")</f>
        <v>13.05 OSIGURANJE OD ODGOVORNOSTI U ŽELJEZNIČKOM PROMETU</v>
      </c>
    </row>
    <row r="84" spans="3:3" x14ac:dyDescent="0.3">
      <c r="C84" s="5" t="str" vm="109">
        <f>CUBEMEMBER("KRK HUO2 RH Statistika","[Rizici].[hSkupineRiziciOsiguranja].[Rizik].&amp;[64]")</f>
        <v>13.06 OSIGURANJE GARANCIJE PRIZVOĐAČA, PRODAVAČA I DOBAVLJAČA</v>
      </c>
    </row>
    <row r="85" spans="3:3" x14ac:dyDescent="0.3">
      <c r="C85" s="5" t="str" vm="87">
        <f>CUBEMEMBER("KRK HUO2 RH Statistika","[Rizici].[hSkupineRiziciOsiguranja].[Rizik].&amp;[65]")</f>
        <v>13.07 OSIGURANJE OPĆE ODGOVORNOSTI</v>
      </c>
    </row>
    <row r="86" spans="3:3" x14ac:dyDescent="0.3">
      <c r="C86" s="5" t="str" vm="156">
        <f>CUBEMEMBER("KRK HUO2 RH Statistika","[Rizici].[hSkupineRiziciOsiguranja].[Rizik].&amp;[66]")</f>
        <v>13.08 OSIGURANJE OD ODG. PROJEKTNIH I DRUGIH DRUŠTAVA ZA ŠTETE NA OBJEKTIMA ZBOG NISPRAVNE TEH. DOK.</v>
      </c>
    </row>
    <row r="87" spans="3:3" x14ac:dyDescent="0.3">
      <c r="C87" s="5" t="str" vm="133">
        <f>CUBEMEMBER("KRK HUO2 RH Statistika","[Rizici].[hSkupineRiziciOsiguranja].[Rizik].&amp;[67]")</f>
        <v>13.09 OSIGURANJE OD ODGOVORNOSTI PROJEKTNIH I DRUGIH DRUŠTAVA</v>
      </c>
    </row>
    <row r="88" spans="3:3" x14ac:dyDescent="0.3">
      <c r="C88" s="5" t="str" vm="108">
        <f>CUBEMEMBER("KRK HUO2 RH Statistika","[Rizici].[hSkupineRiziciOsiguranja].[Rizik].&amp;[68]")</f>
        <v>13.10 OSIGURANJE OD ODGOVORNOSTI ODVJETNIKA</v>
      </c>
    </row>
    <row r="89" spans="3:3" x14ac:dyDescent="0.3">
      <c r="C89" s="5" t="str" vm="86">
        <f>CUBEMEMBER("KRK HUO2 RH Statistika","[Rizici].[hSkupineRiziciOsiguranja].[Rizik].&amp;[69]")</f>
        <v>13.11 OSIGURANJE OD ODGOVORNOSTI JAVNIH BILJEŽNIKA</v>
      </c>
    </row>
    <row r="90" spans="3:3" x14ac:dyDescent="0.3">
      <c r="C90" s="5" t="str" vm="155">
        <f>CUBEMEMBER("KRK HUO2 RH Statistika","[Rizici].[hSkupineRiziciOsiguranja].[Rizik].&amp;[70]")</f>
        <v>13.12 OSIGURANJE OD ODGOVORNOSTI REVIZORSKIH TVRTKI</v>
      </c>
    </row>
    <row r="91" spans="3:3" x14ac:dyDescent="0.3">
      <c r="C91" s="5" t="str" vm="132">
        <f>CUBEMEMBER("KRK HUO2 RH Statistika","[Rizici].[hSkupineRiziciOsiguranja].[Rizik].&amp;[71]")</f>
        <v>13.13 OSIGURANJE OD ODGOVORNOSTI ŠPEDITERA</v>
      </c>
    </row>
    <row r="92" spans="3:3" x14ac:dyDescent="0.3">
      <c r="C92" s="5" t="str" vm="107">
        <f>CUBEMEMBER("KRK HUO2 RH Statistika","[Rizici].[hSkupineRiziciOsiguranja].[Rizik].&amp;[72]")</f>
        <v>13.14 OSIGURANJE OD ODGOVORNOSTI VLASNIKA ODNOSNO KORISNIKA MARINE</v>
      </c>
    </row>
    <row r="93" spans="3:3" x14ac:dyDescent="0.3">
      <c r="C93" s="5" t="str" vm="85">
        <f>CUBEMEMBER("KRK HUO2 RH Statistika","[Rizici].[hSkupineRiziciOsiguranja].[Rizik].&amp;[73]")</f>
        <v>13.15 OSIGURANJE OD ODGOVORNOSTI BRODOPOPRAVLJAČA</v>
      </c>
    </row>
    <row r="94" spans="3:3" x14ac:dyDescent="0.3">
      <c r="C94" s="5" t="str" vm="154">
        <f>CUBEMEMBER("KRK HUO2 RH Statistika","[Rizici].[hSkupineRiziciOsiguranja].[Rizik].&amp;[74]")</f>
        <v>13.16 OSIGURANJE OD ODGOVORNOSTI OBAVLJANJA ZAŠTITARSKIH I DETEKTIVSKIH DJELATNOSTI</v>
      </c>
    </row>
    <row r="95" spans="3:3" x14ac:dyDescent="0.3">
      <c r="C95" s="5" t="str" vm="131">
        <f>CUBEMEMBER("KRK HUO2 RH Statistika","[Rizici].[hSkupineRiziciOsiguranja].[Rizik].&amp;[75]")</f>
        <v>13.17 OSIGURANJE OD ODGOVORNOSTI IZ OBAVLJANJA DJELATNOSTI UPRAVLJANJA NEKRETNINAMA</v>
      </c>
    </row>
    <row r="96" spans="3:3" x14ac:dyDescent="0.3">
      <c r="C96" s="5" t="str" vm="106">
        <f>CUBEMEMBER("KRK HUO2 RH Statistika","[Rizici].[hSkupineRiziciOsiguranja].[Rizik].&amp;[76]")</f>
        <v>13.18 OSIGURANJE OD ODGOVORNOSTI IZ OBAVLJANJA LIJEČNIČKE, STOMATOLOŠKE I LJEKARNIČKE DJELATNOSTI</v>
      </c>
    </row>
    <row r="97" spans="3:3" x14ac:dyDescent="0.3">
      <c r="C97" s="5" t="str" vm="84">
        <f>CUBEMEMBER("KRK HUO2 RH Statistika","[Rizici].[hSkupineRiziciOsiguranja].[Rizik].&amp;[77]")</f>
        <v>13.19 OSIGURANJE OD ODGOVORNOSTI STEČAJNIH UPRAVITELJA</v>
      </c>
    </row>
    <row r="98" spans="3:3" x14ac:dyDescent="0.3">
      <c r="C98" s="5" t="str" vm="153">
        <f>CUBEMEMBER("KRK HUO2 RH Statistika","[Rizici].[hSkupineRiziciOsiguranja].[Rizik].&amp;[78]")</f>
        <v>13.99 OSTALA OSIGURANJA OD ODGOVORNOSTI</v>
      </c>
    </row>
    <row r="99" spans="3:3" x14ac:dyDescent="0.3">
      <c r="C99" s="3" t="str" vm="42">
        <f>CUBEMEMBER("KRK HUO2 RH Statistika","[Rizici].[hSkupineRiziciOsiguranja].[Vrsta osiguranja].&amp;[14]")</f>
        <v>14 OSIGURANJE KREDITA</v>
      </c>
    </row>
    <row r="100" spans="3:3" x14ac:dyDescent="0.3">
      <c r="C100" s="5" t="str" vm="105">
        <f>CUBEMEMBER("KRK HUO2 RH Statistika","[Rizici].[hSkupineRiziciOsiguranja].[Rizik].&amp;[79]")</f>
        <v>14.01 OSIGURANJE IZVOZNIH POTRAŽIVANJA</v>
      </c>
    </row>
    <row r="101" spans="3:3" x14ac:dyDescent="0.3">
      <c r="C101" s="5" t="str" vm="83">
        <f>CUBEMEMBER("KRK HUO2 RH Statistika","[Rizici].[hSkupineRiziciOsiguranja].[Rizik].&amp;[80]")</f>
        <v>14.02 OSIGURANJE DRUGIH VRSTA POTRAŽIVANJA</v>
      </c>
    </row>
    <row r="102" spans="3:3" x14ac:dyDescent="0.3">
      <c r="C102" s="5" t="str" vm="152">
        <f>CUBEMEMBER("KRK HUO2 RH Statistika","[Rizici].[hSkupineRiziciOsiguranja].[Rizik].&amp;[81]")</f>
        <v>14.03 OSIGURANJE STAMBENIH KREDITA</v>
      </c>
    </row>
    <row r="103" spans="3:3" x14ac:dyDescent="0.3">
      <c r="C103" s="3" t="str" vm="33">
        <f>CUBEMEMBER("KRK HUO2 RH Statistika","[Rizici].[hSkupineRiziciOsiguranja].[Vrsta osiguranja].&amp;[15]")</f>
        <v>15 OSIGURANJE JAMSTVA</v>
      </c>
    </row>
    <row r="104" spans="3:3" x14ac:dyDescent="0.3">
      <c r="C104" s="5" t="str" vm="104">
        <f>CUBEMEMBER("KRK HUO2 RH Statistika","[Rizici].[hSkupineRiziciOsiguranja].[Rizik].&amp;[82]")</f>
        <v>15.01 OSIGURANJE JAMSTVA</v>
      </c>
    </row>
    <row r="105" spans="3:3" x14ac:dyDescent="0.3">
      <c r="C105" s="5" t="str" vm="82">
        <f>CUBEMEMBER("KRK HUO2 RH Statistika","[Rizici].[hSkupineRiziciOsiguranja].[Rizik].&amp;[83]")</f>
        <v>15.02 OSIGURANJE GARANCIJA</v>
      </c>
    </row>
    <row r="106" spans="3:3" x14ac:dyDescent="0.3">
      <c r="C106" s="3" t="str" vm="49">
        <f>CUBEMEMBER("KRK HUO2 RH Statistika","[Rizici].[hSkupineRiziciOsiguranja].[Vrsta osiguranja].&amp;[16]")</f>
        <v>16 OSIGURANJE RAZNIH FINANCIJSKIH GUBITAKA</v>
      </c>
    </row>
    <row r="107" spans="3:3" x14ac:dyDescent="0.3">
      <c r="C107" s="5" t="str" vm="130">
        <f>CUBEMEMBER("KRK HUO2 RH Statistika","[Rizici].[hSkupineRiziciOsiguranja].[Rizik].&amp;[84]")</f>
        <v>16.01 OSIG. FINANC. GUBITAKA RADI PREKIDA RADA ZBOG POŽARA I NEKIH DRUGIH OPASNOSTI</v>
      </c>
    </row>
    <row r="108" spans="3:3" x14ac:dyDescent="0.3">
      <c r="C108" s="5" t="str" vm="103">
        <f>CUBEMEMBER("KRK HUO2 RH Statistika","[Rizici].[hSkupineRiziciOsiguranja].[Rizik].&amp;[85]")</f>
        <v>16.02 OSIGURANJE FINANCIJSKIH GUBITAKA RADI PREKIDA RADA ZBOG LOMA STROJEVA</v>
      </c>
    </row>
    <row r="109" spans="3:3" x14ac:dyDescent="0.3">
      <c r="C109" s="5" t="str" vm="81">
        <f>CUBEMEMBER("KRK HUO2 RH Statistika","[Rizici].[hSkupineRiziciOsiguranja].[Rizik].&amp;[86]")</f>
        <v>16.03 OSIGURANJE RAZNIH PRIREDBI ZBOG ATMOSFERSKIH OBORINA</v>
      </c>
    </row>
    <row r="110" spans="3:3" x14ac:dyDescent="0.3">
      <c r="C110" s="5" t="str" vm="151">
        <f>CUBEMEMBER("KRK HUO2 RH Statistika","[Rizici].[hSkupineRiziciOsiguranja].[Rizik].&amp;[87]")</f>
        <v>16.04 OSIGURANJE OD ŠTETA ZBOG OTKUPA KRIVOTVORENIH INOZEMNIH SREDSTAVA PLAĆANJA</v>
      </c>
    </row>
    <row r="111" spans="3:3" x14ac:dyDescent="0.3">
      <c r="C111" s="5" t="str" vm="129">
        <f>CUBEMEMBER("KRK HUO2 RH Statistika","[Rizici].[hSkupineRiziciOsiguranja].[Rizik].&amp;[88]")</f>
        <v>16.05 OSIGURANJE OPASNOSTI OTKAZA TURISTIČKIH PUTOVANJA</v>
      </c>
    </row>
    <row r="112" spans="3:3" x14ac:dyDescent="0.3">
      <c r="C112" s="5" t="str" vm="102">
        <f>CUBEMEMBER("KRK HUO2 RH Statistika","[Rizici].[hSkupineRiziciOsiguranja].[Rizik].&amp;[89]")</f>
        <v>16.99 OSTALA OSIGURANJA FINANCIJSKIH GUBITAKA</v>
      </c>
    </row>
    <row r="113" spans="3:3" x14ac:dyDescent="0.3">
      <c r="C113" s="3" t="str" vm="46">
        <f>CUBEMEMBER("KRK HUO2 RH Statistika","[Rizici].[hSkupineRiziciOsiguranja].[Vrsta osiguranja].&amp;[17]")</f>
        <v>17 OSIGURANJE TROŠKOVA PRAVNE ZAŠTITE</v>
      </c>
    </row>
    <row r="114" spans="3:3" x14ac:dyDescent="0.3">
      <c r="C114" s="5" t="str" vm="150">
        <f>CUBEMEMBER("KRK HUO2 RH Statistika","[Rizici].[hSkupineRiziciOsiguranja].[Rizik].&amp;[90]")</f>
        <v>17.01 OSIGURANJE TROŠKOVA PRAVNE ZAŠTITE I TROŠKOVA SUDSKOG POSTUPKA</v>
      </c>
    </row>
    <row r="115" spans="3:3" x14ac:dyDescent="0.3">
      <c r="C115" s="3" t="str" vm="41">
        <f>CUBEMEMBER("KRK HUO2 RH Statistika","[Rizici].[hSkupineRiziciOsiguranja].[Vrsta osiguranja].&amp;[18]")</f>
        <v>18 PUTNO OSIGURANJE</v>
      </c>
    </row>
    <row r="116" spans="3:3" x14ac:dyDescent="0.3">
      <c r="C116" s="5" t="str" vm="101">
        <f>CUBEMEMBER("KRK HUO2 RH Statistika","[Rizici].[hSkupineRiziciOsiguranja].[Rizik].&amp;[91]")</f>
        <v>18.01 TURISTIČKO OSIGURANJE</v>
      </c>
    </row>
    <row r="117" spans="3:3" x14ac:dyDescent="0.3">
      <c r="C117" s="5" t="str" vm="80">
        <f>CUBEMEMBER("KRK HUO2 RH Statistika","[Rizici].[hSkupineRiziciOsiguranja].[Rizik].&amp;[93]")</f>
        <v>18.03 PUTNO ZDRAVSTVENO OSIGURANJE</v>
      </c>
    </row>
    <row r="118" spans="3:3" x14ac:dyDescent="0.3">
      <c r="C118" s="5" t="str" vm="149">
        <f>CUBEMEMBER("KRK HUO2 RH Statistika","[Rizici].[hSkupineRiziciOsiguranja].[Rizik].&amp;[94]")</f>
        <v>18.04 OSIGURANJE POMOĆI (ASISTENCIJE) ZA VRIJEME PUTA, IZVAN MJESTA BORAVKA ILI PREBIVALIŠTA</v>
      </c>
    </row>
    <row r="119" spans="3:3" x14ac:dyDescent="0.3">
      <c r="C119" s="5" t="str" vm="128">
        <f>CUBEMEMBER("KRK HUO2 RH Statistika","[Rizici].[hSkupineRiziciOsiguranja].[Rizik].&amp;[95]")</f>
        <v>18.99 OSTALA OSIGURANJA TURISTIČKIH RIZIKA</v>
      </c>
    </row>
    <row r="120" spans="3:3" x14ac:dyDescent="0.3">
      <c r="C120" s="2" t="str" vm="32">
        <f>CUBEMEMBER("KRK HUO2 RH Statistika","[Rizici].[hSkupineRiziciOsiguranja].[Skupina osiguranja].&amp;[2]")</f>
        <v>Život</v>
      </c>
    </row>
    <row r="121" spans="3:3" x14ac:dyDescent="0.3">
      <c r="C121" s="2" t="str" vm="31">
        <f>CUBEMEMBER("KRK HUO2 RH Statistika","[Rizici].[hSkupineRiziciOsiguranja].[Sve]","Grand Total")</f>
        <v>Grand Total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0.39997558519241921"/>
    <pageSetUpPr fitToPage="1"/>
  </sheetPr>
  <dimension ref="A1:U33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6.69921875" style="8" bestFit="1" customWidth="1"/>
    <col min="4" max="4" width="11.296875" style="8" bestFit="1" customWidth="1"/>
    <col min="5" max="5" width="16.69921875" style="8" bestFit="1" customWidth="1"/>
    <col min="6" max="6" width="11.296875" style="8" bestFit="1" customWidth="1"/>
    <col min="7" max="7" width="11.59765625" style="70" bestFit="1" customWidth="1"/>
    <col min="8" max="8" width="13.59765625" style="8" bestFit="1" customWidth="1"/>
    <col min="9" max="9" width="12.296875" style="8" bestFit="1" customWidth="1"/>
    <col min="10" max="10" width="13.59765625" style="8" bestFit="1" customWidth="1"/>
    <col min="11" max="11" width="12.296875" style="8" bestFit="1" customWidth="1"/>
    <col min="12" max="12" width="11.59765625" style="70" customWidth="1"/>
    <col min="13" max="13" width="7.69921875" style="8" customWidth="1"/>
    <col min="14" max="16384" width="9.296875" style="8"/>
  </cols>
  <sheetData>
    <row r="1" spans="1:17" s="22" customFormat="1" ht="58.85" customHeight="1" x14ac:dyDescent="0.3">
      <c r="A1" s="359" t="s">
        <v>204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7" s="22" customFormat="1" ht="13.85" x14ac:dyDescent="0.3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7" ht="21.75" customHeight="1" x14ac:dyDescent="0.3"/>
    <row r="4" spans="1:17" ht="7.5" customHeight="1" thickBot="1" x14ac:dyDescent="0.35"/>
    <row r="5" spans="1:17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17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17" s="64" customFormat="1" ht="3.75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17" s="22" customFormat="1" ht="37.549999999999997" customHeight="1" x14ac:dyDescent="0.3">
      <c r="B8" s="15" t="s" vm="135">
        <v>183</v>
      </c>
      <c r="C8" s="233" vm="1427">
        <v>972819.77</v>
      </c>
      <c r="D8" s="212">
        <v>0.41</v>
      </c>
      <c r="E8" s="233" vm="1193">
        <v>698636.61</v>
      </c>
      <c r="F8" s="212">
        <v>0.3</v>
      </c>
      <c r="G8" s="287">
        <v>71.815626238763627</v>
      </c>
      <c r="H8" s="271" vm="1266">
        <v>160</v>
      </c>
      <c r="I8" s="212">
        <v>0.16</v>
      </c>
      <c r="J8" s="232" vm="1604">
        <v>100</v>
      </c>
      <c r="K8" s="212">
        <v>9.9999999999999992E-2</v>
      </c>
      <c r="L8" s="204">
        <v>62.5</v>
      </c>
    </row>
    <row r="9" spans="1:17" s="22" customFormat="1" ht="37.549999999999997" customHeight="1" x14ac:dyDescent="0.3">
      <c r="B9" s="15" t="s" vm="110">
        <v>184</v>
      </c>
      <c r="C9" s="233" vm="916">
        <v>76255.58</v>
      </c>
      <c r="D9" s="212">
        <v>0.03</v>
      </c>
      <c r="E9" s="233" vm="1390">
        <v>92889.58</v>
      </c>
      <c r="F9" s="212">
        <v>0.04</v>
      </c>
      <c r="G9" s="287">
        <v>121.81348564918136</v>
      </c>
      <c r="H9" s="271" vm="920">
        <v>25</v>
      </c>
      <c r="I9" s="212">
        <v>0.02</v>
      </c>
      <c r="J9" s="232" vm="1624">
        <v>34</v>
      </c>
      <c r="K9" s="212">
        <v>0.03</v>
      </c>
      <c r="L9" s="204">
        <v>136</v>
      </c>
    </row>
    <row r="10" spans="1:17" s="22" customFormat="1" ht="37.549999999999997" customHeight="1" x14ac:dyDescent="0.3">
      <c r="B10" s="15" t="s" vm="88">
        <v>185</v>
      </c>
      <c r="C10" s="233" vm="831">
        <v>0</v>
      </c>
      <c r="D10" s="212">
        <v>0</v>
      </c>
      <c r="E10" s="233" vm="1046">
        <v>41905.380000000005</v>
      </c>
      <c r="F10" s="212">
        <v>0.02</v>
      </c>
      <c r="G10" s="287" t="s">
        <v>127</v>
      </c>
      <c r="H10" s="271" vm="956">
        <v>0</v>
      </c>
      <c r="I10" s="212">
        <v>0</v>
      </c>
      <c r="J10" s="232" vm="826">
        <v>2</v>
      </c>
      <c r="K10" s="212">
        <v>0</v>
      </c>
      <c r="L10" s="204" t="s">
        <v>127</v>
      </c>
    </row>
    <row r="11" spans="1:17" s="22" customFormat="1" ht="35.450000000000003" customHeight="1" x14ac:dyDescent="0.3">
      <c r="B11" s="15" t="s" vm="157">
        <v>186</v>
      </c>
      <c r="C11" s="233" vm="1153">
        <v>3513361.5299999993</v>
      </c>
      <c r="D11" s="212">
        <v>1.5</v>
      </c>
      <c r="E11" s="233" vm="1161">
        <v>3550386.93</v>
      </c>
      <c r="F11" s="212">
        <v>1.55</v>
      </c>
      <c r="G11" s="287">
        <v>101.05384543218361</v>
      </c>
      <c r="H11" s="271" vm="1355">
        <v>178</v>
      </c>
      <c r="I11" s="212">
        <v>0.18</v>
      </c>
      <c r="J11" s="232" vm="1142">
        <v>197</v>
      </c>
      <c r="K11" s="212">
        <v>0.18</v>
      </c>
      <c r="L11" s="204">
        <v>110.67415730337078</v>
      </c>
    </row>
    <row r="12" spans="1:17" s="22" customFormat="1" ht="35.450000000000003" customHeight="1" x14ac:dyDescent="0.3">
      <c r="B12" s="15" t="s" vm="134">
        <v>187</v>
      </c>
      <c r="C12" s="233" vm="1239">
        <v>0</v>
      </c>
      <c r="D12" s="212">
        <v>0</v>
      </c>
      <c r="E12" s="233" vm="1704">
        <v>1307.3699999999999</v>
      </c>
      <c r="F12" s="212">
        <v>0</v>
      </c>
      <c r="G12" s="287" t="s">
        <v>127</v>
      </c>
      <c r="H12" s="271" vm="1165">
        <v>0</v>
      </c>
      <c r="I12" s="212">
        <v>0</v>
      </c>
      <c r="J12" s="232" vm="1705">
        <v>3</v>
      </c>
      <c r="K12" s="212">
        <v>0</v>
      </c>
      <c r="L12" s="204" t="s">
        <v>127</v>
      </c>
    </row>
    <row r="13" spans="1:17" s="22" customFormat="1" ht="35.450000000000003" customHeight="1" x14ac:dyDescent="0.3">
      <c r="B13" s="15" t="s" vm="109">
        <v>188</v>
      </c>
      <c r="C13" s="233" vm="1796">
        <v>12444148.520000001</v>
      </c>
      <c r="D13" s="212">
        <v>5.3</v>
      </c>
      <c r="E13" s="233" vm="1795">
        <v>13373822.660000002</v>
      </c>
      <c r="F13" s="212">
        <v>5.86</v>
      </c>
      <c r="G13" s="287">
        <v>107.47077342018095</v>
      </c>
      <c r="H13" s="271" vm="1299">
        <v>75</v>
      </c>
      <c r="I13" s="212">
        <v>7.0000000000000007E-2</v>
      </c>
      <c r="J13" s="232" vm="1428">
        <v>77</v>
      </c>
      <c r="K13" s="212">
        <v>7.0000000000000007E-2</v>
      </c>
      <c r="L13" s="204">
        <v>102.66666666666666</v>
      </c>
    </row>
    <row r="14" spans="1:17" ht="38.25" customHeight="1" x14ac:dyDescent="0.3">
      <c r="B14" s="15" t="s" vm="87">
        <v>189</v>
      </c>
      <c r="C14" s="233" vm="1753">
        <v>141055146.81999999</v>
      </c>
      <c r="D14" s="212">
        <v>60.08</v>
      </c>
      <c r="E14" s="233" vm="1517">
        <v>139430760.29999998</v>
      </c>
      <c r="F14" s="212">
        <v>61.06</v>
      </c>
      <c r="G14" s="287">
        <v>98.848403226241089</v>
      </c>
      <c r="H14" s="271" vm="1490">
        <v>83131</v>
      </c>
      <c r="I14" s="212">
        <v>82.79</v>
      </c>
      <c r="J14" s="232" vm="1754">
        <v>93046</v>
      </c>
      <c r="K14" s="212">
        <v>85.07</v>
      </c>
      <c r="L14" s="204">
        <v>111.92695865561583</v>
      </c>
    </row>
    <row r="15" spans="1:17" ht="37.549999999999997" customHeight="1" x14ac:dyDescent="0.3">
      <c r="B15" s="15" t="s" vm="156">
        <v>190</v>
      </c>
      <c r="C15" s="233" vm="1436">
        <v>0</v>
      </c>
      <c r="D15" s="212">
        <v>0</v>
      </c>
      <c r="E15" s="233" vm="1275">
        <v>0</v>
      </c>
      <c r="F15" s="212">
        <v>0</v>
      </c>
      <c r="G15" s="287" t="s">
        <v>127</v>
      </c>
      <c r="H15" s="271" vm="1651">
        <v>0</v>
      </c>
      <c r="I15" s="212">
        <v>0</v>
      </c>
      <c r="J15" s="232" vm="1539">
        <v>0</v>
      </c>
      <c r="K15" s="212">
        <v>0</v>
      </c>
      <c r="L15" s="204" t="s">
        <v>127</v>
      </c>
    </row>
    <row r="16" spans="1:17" ht="36" customHeight="1" x14ac:dyDescent="0.3">
      <c r="B16" s="15" t="s" vm="133">
        <v>191</v>
      </c>
      <c r="C16" s="233" vm="1535">
        <v>76923.679999999993</v>
      </c>
      <c r="D16" s="212">
        <v>0.03</v>
      </c>
      <c r="E16" s="233" vm="1482">
        <v>999009.6399999999</v>
      </c>
      <c r="F16" s="212">
        <v>0.44</v>
      </c>
      <c r="G16" s="287">
        <v>1298.7023501735746</v>
      </c>
      <c r="H16" s="271" vm="1649">
        <v>23</v>
      </c>
      <c r="I16" s="212">
        <v>0.02</v>
      </c>
      <c r="J16" s="232" vm="1430">
        <v>50</v>
      </c>
      <c r="K16" s="212">
        <v>0.05</v>
      </c>
      <c r="L16" s="204">
        <v>217.39130434782606</v>
      </c>
    </row>
    <row r="17" spans="2:21" s="22" customFormat="1" ht="31.85" customHeight="1" x14ac:dyDescent="0.3">
      <c r="B17" s="15" t="s" vm="108">
        <v>192</v>
      </c>
      <c r="C17" s="233" vm="1589">
        <v>6103316.6600000001</v>
      </c>
      <c r="D17" s="212">
        <v>2.6</v>
      </c>
      <c r="E17" s="233" vm="1934">
        <v>5874967.2300000004</v>
      </c>
      <c r="F17" s="212">
        <v>2.57</v>
      </c>
      <c r="G17" s="287">
        <v>96.258600975162253</v>
      </c>
      <c r="H17" s="271" vm="1296">
        <v>3755</v>
      </c>
      <c r="I17" s="212">
        <v>3.74</v>
      </c>
      <c r="J17" s="232" vm="1089">
        <v>3788</v>
      </c>
      <c r="K17" s="212">
        <v>3.46</v>
      </c>
      <c r="L17" s="204">
        <v>100.87882822902796</v>
      </c>
    </row>
    <row r="18" spans="2:21" s="22" customFormat="1" ht="37.549999999999997" customHeight="1" x14ac:dyDescent="0.3">
      <c r="B18" s="15" t="s" vm="86">
        <v>193</v>
      </c>
      <c r="C18" s="233" vm="1033">
        <v>1455696.5699999998</v>
      </c>
      <c r="D18" s="212">
        <v>0.62</v>
      </c>
      <c r="E18" s="233" vm="1762">
        <v>1281677.46</v>
      </c>
      <c r="F18" s="212">
        <v>0.56000000000000005</v>
      </c>
      <c r="G18" s="287">
        <v>88.045646765520658</v>
      </c>
      <c r="H18" s="271" vm="1509">
        <v>298</v>
      </c>
      <c r="I18" s="212">
        <v>0.3</v>
      </c>
      <c r="J18" s="232" vm="1761">
        <v>296</v>
      </c>
      <c r="K18" s="212">
        <v>0.27</v>
      </c>
      <c r="L18" s="204">
        <v>99.328859060402692</v>
      </c>
    </row>
    <row r="19" spans="2:21" s="22" customFormat="1" ht="37.549999999999997" customHeight="1" x14ac:dyDescent="0.3">
      <c r="B19" s="15" t="s" vm="155">
        <v>194</v>
      </c>
      <c r="C19" s="233" vm="1195">
        <v>1940011.87</v>
      </c>
      <c r="D19" s="212">
        <v>0.83</v>
      </c>
      <c r="E19" s="233" vm="1663">
        <v>1391170.31</v>
      </c>
      <c r="F19" s="212">
        <v>0.61</v>
      </c>
      <c r="G19" s="287">
        <v>71.709371035961752</v>
      </c>
      <c r="H19" s="271" vm="908">
        <v>213</v>
      </c>
      <c r="I19" s="212">
        <v>0.21</v>
      </c>
      <c r="J19" s="232" vm="884">
        <v>206</v>
      </c>
      <c r="K19" s="212">
        <v>0.19</v>
      </c>
      <c r="L19" s="204">
        <v>96.713615023474176</v>
      </c>
    </row>
    <row r="20" spans="2:21" s="22" customFormat="1" ht="37.549999999999997" customHeight="1" x14ac:dyDescent="0.3">
      <c r="B20" s="15" t="s" vm="132">
        <v>195</v>
      </c>
      <c r="C20" s="233" vm="998">
        <v>1667894.1399999997</v>
      </c>
      <c r="D20" s="212">
        <v>0.71</v>
      </c>
      <c r="E20" s="233" vm="710">
        <v>1029664.0399999999</v>
      </c>
      <c r="F20" s="212">
        <v>0.45</v>
      </c>
      <c r="G20" s="287">
        <v>61.734376019811435</v>
      </c>
      <c r="H20" s="271" vm="853">
        <v>44</v>
      </c>
      <c r="I20" s="212">
        <v>0.04</v>
      </c>
      <c r="J20" s="232" vm="758">
        <v>39</v>
      </c>
      <c r="K20" s="212">
        <v>0.04</v>
      </c>
      <c r="L20" s="204">
        <v>88.63636363636364</v>
      </c>
    </row>
    <row r="21" spans="2:21" s="22" customFormat="1" ht="35.450000000000003" customHeight="1" x14ac:dyDescent="0.3">
      <c r="B21" s="15" t="s" vm="107">
        <v>196</v>
      </c>
      <c r="C21" s="233" vm="1955">
        <v>6390437.200000002</v>
      </c>
      <c r="D21" s="212">
        <v>2.72</v>
      </c>
      <c r="E21" s="233" vm="1760">
        <v>6259855.1499999994</v>
      </c>
      <c r="F21" s="212">
        <v>2.74</v>
      </c>
      <c r="G21" s="287">
        <v>97.956602249373447</v>
      </c>
      <c r="H21" s="271" vm="1138">
        <v>144</v>
      </c>
      <c r="I21" s="212">
        <v>0.14000000000000001</v>
      </c>
      <c r="J21" s="232" vm="1759">
        <v>165</v>
      </c>
      <c r="K21" s="212">
        <v>0.15</v>
      </c>
      <c r="L21" s="204">
        <v>114.58333333333333</v>
      </c>
    </row>
    <row r="22" spans="2:21" s="22" customFormat="1" ht="35.450000000000003" customHeight="1" x14ac:dyDescent="0.3">
      <c r="B22" s="15" t="s" vm="85">
        <v>197</v>
      </c>
      <c r="C22" s="233" vm="1149">
        <v>6685823.9500000002</v>
      </c>
      <c r="D22" s="212">
        <v>2.85</v>
      </c>
      <c r="E22" s="233" vm="859">
        <v>5521661.3300000001</v>
      </c>
      <c r="F22" s="212">
        <v>2.42</v>
      </c>
      <c r="G22" s="287">
        <v>82.587596851095668</v>
      </c>
      <c r="H22" s="271" vm="996">
        <v>77</v>
      </c>
      <c r="I22" s="212">
        <v>0.08</v>
      </c>
      <c r="J22" s="232" vm="1009">
        <v>86</v>
      </c>
      <c r="K22" s="212">
        <v>0.08</v>
      </c>
      <c r="L22" s="204">
        <v>111.68831168831169</v>
      </c>
    </row>
    <row r="23" spans="2:21" s="22" customFormat="1" ht="35.450000000000003" customHeight="1" x14ac:dyDescent="0.3">
      <c r="B23" s="15" t="s" vm="154">
        <v>198</v>
      </c>
      <c r="C23" s="233" vm="1788">
        <v>3554123.54</v>
      </c>
      <c r="D23" s="212">
        <v>1.51</v>
      </c>
      <c r="E23" s="233" vm="1551">
        <v>2588545.46</v>
      </c>
      <c r="F23" s="212">
        <v>1.1299999999999999</v>
      </c>
      <c r="G23" s="287">
        <v>72.832174539436522</v>
      </c>
      <c r="H23" s="271" vm="1789">
        <v>57</v>
      </c>
      <c r="I23" s="212">
        <v>0.06</v>
      </c>
      <c r="J23" s="232" vm="1494">
        <v>59</v>
      </c>
      <c r="K23" s="212">
        <v>0.05</v>
      </c>
      <c r="L23" s="204">
        <v>103.50877192982458</v>
      </c>
    </row>
    <row r="24" spans="2:21" ht="38.25" customHeight="1" x14ac:dyDescent="0.3">
      <c r="B24" s="15" t="s" vm="131">
        <v>199</v>
      </c>
      <c r="C24" s="233" vm="1748">
        <v>347322.13999999996</v>
      </c>
      <c r="D24" s="212">
        <v>0.15</v>
      </c>
      <c r="E24" s="233" vm="1747">
        <v>386767.30999999994</v>
      </c>
      <c r="F24" s="212">
        <v>0.17</v>
      </c>
      <c r="G24" s="287">
        <v>111.35694085035868</v>
      </c>
      <c r="H24" s="271" vm="1745">
        <v>280</v>
      </c>
      <c r="I24" s="212">
        <v>0.28000000000000003</v>
      </c>
      <c r="J24" s="232" vm="1746">
        <v>212</v>
      </c>
      <c r="K24" s="212">
        <v>0.19</v>
      </c>
      <c r="L24" s="204">
        <v>75.714285714285708</v>
      </c>
    </row>
    <row r="25" spans="2:21" ht="37.549999999999997" customHeight="1" x14ac:dyDescent="0.3">
      <c r="B25" s="15" t="s" vm="106">
        <v>200</v>
      </c>
      <c r="C25" s="233" vm="1519">
        <v>12201102.609999999</v>
      </c>
      <c r="D25" s="212">
        <v>5.2</v>
      </c>
      <c r="E25" s="233" vm="1662">
        <v>11208833.9</v>
      </c>
      <c r="F25" s="212">
        <v>4.91</v>
      </c>
      <c r="G25" s="287">
        <v>91.867384926451336</v>
      </c>
      <c r="H25" s="271" vm="1254">
        <v>2737</v>
      </c>
      <c r="I25" s="212">
        <v>2.73</v>
      </c>
      <c r="J25" s="232" vm="832">
        <v>3112</v>
      </c>
      <c r="K25" s="212">
        <v>2.85</v>
      </c>
      <c r="L25" s="204">
        <v>113.70113262696381</v>
      </c>
    </row>
    <row r="26" spans="2:21" ht="36" customHeight="1" x14ac:dyDescent="0.3">
      <c r="B26" s="15" t="s" vm="84">
        <v>201</v>
      </c>
      <c r="C26" s="233" vm="1691">
        <v>4259769.5200000005</v>
      </c>
      <c r="D26" s="212">
        <v>1.81</v>
      </c>
      <c r="E26" s="233" vm="847">
        <v>3735580.41</v>
      </c>
      <c r="F26" s="212">
        <v>1.64</v>
      </c>
      <c r="G26" s="287">
        <v>87.694425542534987</v>
      </c>
      <c r="H26" s="271" vm="1000">
        <v>215</v>
      </c>
      <c r="I26" s="212">
        <v>0.21</v>
      </c>
      <c r="J26" s="232" vm="922">
        <v>253</v>
      </c>
      <c r="K26" s="212">
        <v>0.23</v>
      </c>
      <c r="L26" s="204">
        <v>117.67441860465115</v>
      </c>
    </row>
    <row r="27" spans="2:21" s="22" customFormat="1" ht="31.85" customHeight="1" x14ac:dyDescent="0.3">
      <c r="B27" s="15" t="s" vm="153">
        <v>202</v>
      </c>
      <c r="C27" s="233" vm="860">
        <v>32037216.889999993</v>
      </c>
      <c r="D27" s="212">
        <v>13.65</v>
      </c>
      <c r="E27" s="233" vm="1100">
        <v>30897956.910000004</v>
      </c>
      <c r="F27" s="212">
        <v>13.53</v>
      </c>
      <c r="G27" s="287">
        <v>96.443948349472279</v>
      </c>
      <c r="H27" s="271" vm="708">
        <v>9003</v>
      </c>
      <c r="I27" s="212">
        <v>8.9700000000000006</v>
      </c>
      <c r="J27" s="201" vm="808">
        <v>7649</v>
      </c>
      <c r="K27" s="212">
        <v>6.99</v>
      </c>
      <c r="L27" s="204">
        <v>84.960568699322451</v>
      </c>
    </row>
    <row r="28" spans="2:21" s="64" customFormat="1" ht="3.75" customHeight="1" thickBot="1" x14ac:dyDescent="0.35">
      <c r="B28" s="15"/>
      <c r="C28" s="233"/>
      <c r="D28" s="16"/>
      <c r="E28" s="300"/>
      <c r="F28" s="17"/>
      <c r="G28" s="45"/>
      <c r="H28" s="271"/>
      <c r="I28" s="17"/>
      <c r="J28" s="201"/>
      <c r="K28" s="17"/>
      <c r="L28" s="204"/>
      <c r="M28" s="79"/>
      <c r="N28" s="79"/>
      <c r="O28" s="79"/>
      <c r="P28" s="79"/>
      <c r="Q28" s="63"/>
      <c r="R28" s="63"/>
      <c r="S28" s="63"/>
      <c r="T28" s="63"/>
      <c r="U28" s="63"/>
    </row>
    <row r="29" spans="2:21" ht="37.549999999999997" customHeight="1" thickBot="1" x14ac:dyDescent="0.35">
      <c r="B29" s="120" t="s" vm="37">
        <v>203</v>
      </c>
      <c r="C29" s="235" vm="1816">
        <v>234781370.98999986</v>
      </c>
      <c r="D29" s="254">
        <v>100</v>
      </c>
      <c r="E29" s="235" vm="1477">
        <v>228365397.98000002</v>
      </c>
      <c r="F29" s="254">
        <v>99.999999999999986</v>
      </c>
      <c r="G29" s="243">
        <v>97.267256348770061</v>
      </c>
      <c r="H29" s="235" vm="1954">
        <v>100415</v>
      </c>
      <c r="I29" s="254">
        <v>100</v>
      </c>
      <c r="J29" s="248" vm="1395">
        <v>109374</v>
      </c>
      <c r="K29" s="254">
        <v>99.999999999999972</v>
      </c>
      <c r="L29" s="243">
        <v>108.92197380869393</v>
      </c>
    </row>
    <row r="30" spans="2:21" s="64" customFormat="1" ht="3.75" customHeight="1" x14ac:dyDescent="0.3">
      <c r="B30" s="78"/>
      <c r="C30" s="233"/>
      <c r="D30" s="79"/>
      <c r="E30" s="79"/>
      <c r="F30" s="79"/>
      <c r="G30" s="29"/>
      <c r="H30" s="79"/>
      <c r="I30" s="79"/>
      <c r="J30" s="18" t="s">
        <v>181</v>
      </c>
      <c r="K30" s="79"/>
      <c r="L30" s="204"/>
      <c r="M30" s="79"/>
      <c r="N30" s="79"/>
      <c r="O30" s="79"/>
      <c r="P30" s="79"/>
      <c r="Q30" s="63"/>
      <c r="R30" s="63"/>
      <c r="S30" s="63"/>
      <c r="T30" s="63"/>
      <c r="U30" s="63"/>
    </row>
    <row r="31" spans="2:21" ht="23.3" customHeight="1" x14ac:dyDescent="0.3">
      <c r="B31" s="31" t="s">
        <v>67</v>
      </c>
      <c r="C31" s="242">
        <v>234781370.98999986</v>
      </c>
      <c r="D31" s="20"/>
      <c r="E31" s="236">
        <v>228365397.98000002</v>
      </c>
      <c r="F31" s="20"/>
      <c r="G31" s="246">
        <v>97.267256348770061</v>
      </c>
      <c r="H31" s="242">
        <v>100415</v>
      </c>
      <c r="I31" s="20"/>
      <c r="J31" s="242">
        <v>109374</v>
      </c>
      <c r="K31" s="20"/>
      <c r="L31" s="283">
        <v>108.92197380869393</v>
      </c>
    </row>
    <row r="32" spans="2:21" x14ac:dyDescent="0.3">
      <c r="B32" s="85"/>
      <c r="C32" s="85"/>
      <c r="D32" s="85"/>
      <c r="E32" s="85"/>
      <c r="F32" s="85"/>
      <c r="G32" s="91"/>
      <c r="H32" s="85"/>
      <c r="I32" s="85"/>
      <c r="J32" s="85"/>
      <c r="K32" s="85"/>
      <c r="L32" s="91"/>
      <c r="M32" s="22"/>
      <c r="N32" s="22"/>
      <c r="O32" s="22"/>
      <c r="P32" s="22"/>
    </row>
    <row r="33" spans="2:16" x14ac:dyDescent="0.3">
      <c r="B33" s="85"/>
      <c r="C33" s="85"/>
      <c r="D33" s="85"/>
      <c r="E33" s="85"/>
      <c r="F33" s="85"/>
      <c r="G33" s="91"/>
      <c r="H33" s="85"/>
      <c r="I33" s="85"/>
      <c r="J33" s="85"/>
      <c r="K33" s="85"/>
      <c r="L33" s="91"/>
      <c r="M33" s="22"/>
      <c r="N33" s="22"/>
      <c r="O33" s="22"/>
      <c r="P33" s="22"/>
    </row>
  </sheetData>
  <mergeCells count="5">
    <mergeCell ref="B5:B6"/>
    <mergeCell ref="C5:G5"/>
    <mergeCell ref="H5:L5"/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39997558519241921"/>
    <pageSetUpPr fitToPage="1"/>
  </sheetPr>
  <dimension ref="A1:Q33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2.59765625" style="8" customWidth="1"/>
    <col min="2" max="2" width="67" style="8" bestFit="1" customWidth="1"/>
    <col min="3" max="4" width="16.69921875" style="8" bestFit="1" customWidth="1"/>
    <col min="5" max="5" width="11.59765625" style="70" bestFit="1" customWidth="1"/>
    <col min="6" max="7" width="13.59765625" style="8" bestFit="1" customWidth="1"/>
    <col min="8" max="8" width="11.59765625" style="70" customWidth="1"/>
    <col min="9" max="9" width="2.59765625" style="8" customWidth="1"/>
    <col min="10" max="16384" width="9.296875" style="8"/>
  </cols>
  <sheetData>
    <row r="1" spans="1:13" s="22" customFormat="1" ht="58.85" customHeight="1" x14ac:dyDescent="0.3">
      <c r="A1" s="359" t="s">
        <v>182</v>
      </c>
      <c r="B1" s="359"/>
      <c r="C1" s="359"/>
      <c r="D1" s="359"/>
      <c r="E1" s="359"/>
      <c r="F1" s="359"/>
      <c r="G1" s="359"/>
      <c r="H1" s="359"/>
      <c r="I1" s="359"/>
    </row>
    <row r="2" spans="1:13" s="22" customFormat="1" ht="13.15" x14ac:dyDescent="0.35">
      <c r="A2" s="337"/>
      <c r="B2" s="337"/>
      <c r="C2" s="337"/>
      <c r="D2" s="337"/>
      <c r="E2" s="337"/>
      <c r="F2" s="337"/>
      <c r="G2" s="337"/>
      <c r="H2" s="337"/>
      <c r="I2" s="337"/>
    </row>
    <row r="3" spans="1:13" ht="21.75" customHeight="1" x14ac:dyDescent="0.35"/>
    <row r="4" spans="1:13" ht="7.5" customHeight="1" thickBot="1" x14ac:dyDescent="0.4"/>
    <row r="5" spans="1:13" s="62" customFormat="1" ht="14.95" customHeight="1" x14ac:dyDescent="0.3">
      <c r="B5" s="356" t="s">
        <v>44</v>
      </c>
      <c r="C5" s="354" t="s">
        <v>66</v>
      </c>
      <c r="D5" s="354"/>
      <c r="E5" s="354"/>
      <c r="F5" s="354" t="s">
        <v>42</v>
      </c>
      <c r="G5" s="354"/>
      <c r="H5" s="355"/>
    </row>
    <row r="6" spans="1:13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3" s="64" customFormat="1" ht="3.75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3" s="22" customFormat="1" ht="37.549999999999997" customHeight="1" x14ac:dyDescent="0.3">
      <c r="B8" s="15" t="s" vm="135">
        <v>183</v>
      </c>
      <c r="C8" s="233" vm="1768">
        <v>694841.73</v>
      </c>
      <c r="D8" s="232" vm="1767">
        <v>720439.64999999991</v>
      </c>
      <c r="E8" s="287">
        <v>103.68399290008099</v>
      </c>
      <c r="F8" s="271" vm="1769">
        <v>34</v>
      </c>
      <c r="G8" s="233" vm="1541">
        <v>27</v>
      </c>
      <c r="H8" s="296">
        <v>79.411764705882348</v>
      </c>
    </row>
    <row r="9" spans="1:13" s="22" customFormat="1" ht="37.549999999999997" customHeight="1" x14ac:dyDescent="0.3">
      <c r="B9" s="15" t="s" vm="110">
        <v>184</v>
      </c>
      <c r="C9" s="233" vm="1249">
        <v>8000</v>
      </c>
      <c r="D9" s="232" vm="776">
        <v>2025</v>
      </c>
      <c r="E9" s="287">
        <v>25.3125</v>
      </c>
      <c r="F9" s="271" vm="1026">
        <v>1</v>
      </c>
      <c r="G9" s="233" vm="1407">
        <v>1</v>
      </c>
      <c r="H9" s="296">
        <v>100</v>
      </c>
    </row>
    <row r="10" spans="1:13" s="22" customFormat="1" ht="37.549999999999997" customHeight="1" x14ac:dyDescent="0.3">
      <c r="B10" s="15" t="s" vm="88">
        <v>185</v>
      </c>
      <c r="C10" s="233" vm="1404">
        <v>0</v>
      </c>
      <c r="D10" s="232" vm="1164">
        <v>0</v>
      </c>
      <c r="E10" s="287" t="s">
        <v>127</v>
      </c>
      <c r="F10" s="271" vm="1225">
        <v>0</v>
      </c>
      <c r="G10" s="233" vm="1236">
        <v>0</v>
      </c>
      <c r="H10" s="296" t="s">
        <v>127</v>
      </c>
    </row>
    <row r="11" spans="1:13" s="22" customFormat="1" ht="35.450000000000003" customHeight="1" x14ac:dyDescent="0.3">
      <c r="B11" s="15" t="s" vm="157">
        <v>186</v>
      </c>
      <c r="C11" s="233" vm="839">
        <v>582795.55000000016</v>
      </c>
      <c r="D11" s="232" vm="972">
        <v>121328.15000000001</v>
      </c>
      <c r="E11" s="287">
        <v>20.818304120544497</v>
      </c>
      <c r="F11" s="271" vm="917">
        <v>9</v>
      </c>
      <c r="G11" s="233" vm="1290">
        <v>2</v>
      </c>
      <c r="H11" s="296">
        <v>22.222222222222221</v>
      </c>
    </row>
    <row r="12" spans="1:13" s="22" customFormat="1" ht="35.450000000000003" customHeight="1" x14ac:dyDescent="0.3">
      <c r="B12" s="15" t="s" vm="134">
        <v>187</v>
      </c>
      <c r="C12" s="233" vm="1019">
        <v>0</v>
      </c>
      <c r="D12" s="232" vm="1664">
        <v>0</v>
      </c>
      <c r="E12" s="287" t="s">
        <v>127</v>
      </c>
      <c r="F12" s="271" vm="763">
        <v>0</v>
      </c>
      <c r="G12" s="233" vm="1284">
        <v>0</v>
      </c>
      <c r="H12" s="296" t="s">
        <v>127</v>
      </c>
    </row>
    <row r="13" spans="1:13" s="22" customFormat="1" ht="35.450000000000003" customHeight="1" x14ac:dyDescent="0.3">
      <c r="B13" s="15" t="s" vm="109">
        <v>188</v>
      </c>
      <c r="C13" s="233" vm="1876">
        <v>11559428.950000001</v>
      </c>
      <c r="D13" s="232" vm="1875">
        <v>13583361.66</v>
      </c>
      <c r="E13" s="287">
        <v>117.50893334570821</v>
      </c>
      <c r="F13" s="271" vm="1630">
        <v>67</v>
      </c>
      <c r="G13" s="233" vm="1607">
        <v>69</v>
      </c>
      <c r="H13" s="296">
        <v>102.98507462686568</v>
      </c>
    </row>
    <row r="14" spans="1:13" ht="38.25" customHeight="1" x14ac:dyDescent="0.3">
      <c r="B14" s="15" t="s" vm="87">
        <v>189</v>
      </c>
      <c r="C14" s="233" vm="1464">
        <v>70286001.400000006</v>
      </c>
      <c r="D14" s="232" vm="1689">
        <v>62339015.730000004</v>
      </c>
      <c r="E14" s="287">
        <v>88.693359258306018</v>
      </c>
      <c r="F14" s="271" vm="1812">
        <v>7603</v>
      </c>
      <c r="G14" s="233" vm="1811">
        <v>6729</v>
      </c>
      <c r="H14" s="296">
        <v>88.504537682493762</v>
      </c>
    </row>
    <row r="15" spans="1:13" ht="37.549999999999997" customHeight="1" x14ac:dyDescent="0.3">
      <c r="B15" s="15" t="s" vm="156">
        <v>190</v>
      </c>
      <c r="C15" s="233" vm="1739">
        <v>0</v>
      </c>
      <c r="D15" s="232" vm="1671">
        <v>0</v>
      </c>
      <c r="E15" s="287" t="s">
        <v>127</v>
      </c>
      <c r="F15" s="271" vm="1738">
        <v>0</v>
      </c>
      <c r="G15" s="233" vm="1526">
        <v>0</v>
      </c>
      <c r="H15" s="296" t="s">
        <v>127</v>
      </c>
    </row>
    <row r="16" spans="1:13" ht="36" customHeight="1" x14ac:dyDescent="0.3">
      <c r="B16" s="15" t="s" vm="133">
        <v>191</v>
      </c>
      <c r="C16" s="233" vm="1858">
        <v>0</v>
      </c>
      <c r="D16" s="232" vm="1857">
        <v>0</v>
      </c>
      <c r="E16" s="287" t="s">
        <v>127</v>
      </c>
      <c r="F16" s="271" vm="1859">
        <v>0</v>
      </c>
      <c r="G16" s="233" vm="1860">
        <v>0</v>
      </c>
      <c r="H16" s="296" t="s">
        <v>127</v>
      </c>
    </row>
    <row r="17" spans="2:17" s="22" customFormat="1" ht="31.85" customHeight="1" x14ac:dyDescent="0.3">
      <c r="B17" s="15" t="s" vm="108">
        <v>192</v>
      </c>
      <c r="C17" s="233" vm="1677">
        <v>413039.77</v>
      </c>
      <c r="D17" s="232" vm="1852">
        <v>286749.84000000003</v>
      </c>
      <c r="E17" s="287">
        <v>69.424268757461306</v>
      </c>
      <c r="F17" s="271" vm="1853">
        <v>22</v>
      </c>
      <c r="G17" s="233" vm="1515">
        <v>17</v>
      </c>
      <c r="H17" s="296">
        <v>77.272727272727266</v>
      </c>
    </row>
    <row r="18" spans="2:17" s="22" customFormat="1" ht="37.549999999999997" customHeight="1" x14ac:dyDescent="0.3">
      <c r="B18" s="15" t="s" vm="86">
        <v>193</v>
      </c>
      <c r="C18" s="233" vm="1386">
        <v>2140</v>
      </c>
      <c r="D18" s="232" vm="1501">
        <v>854045.8</v>
      </c>
      <c r="E18" s="287">
        <v>39908.682242990661</v>
      </c>
      <c r="F18" s="271" vm="1531">
        <v>0</v>
      </c>
      <c r="G18" s="233" vm="1264">
        <v>2</v>
      </c>
      <c r="H18" s="296" t="s">
        <v>127</v>
      </c>
    </row>
    <row r="19" spans="2:17" s="22" customFormat="1" ht="37.549999999999997" customHeight="1" x14ac:dyDescent="0.3">
      <c r="B19" s="15" t="s" vm="155">
        <v>194</v>
      </c>
      <c r="C19" s="233" vm="1911">
        <v>0</v>
      </c>
      <c r="D19" s="232" vm="1628">
        <v>0</v>
      </c>
      <c r="E19" s="287" t="s">
        <v>127</v>
      </c>
      <c r="F19" s="271" vm="1909">
        <v>0</v>
      </c>
      <c r="G19" s="233" vm="1910">
        <v>0</v>
      </c>
      <c r="H19" s="296" t="s">
        <v>127</v>
      </c>
    </row>
    <row r="20" spans="2:17" s="22" customFormat="1" ht="37.549999999999997" customHeight="1" x14ac:dyDescent="0.3">
      <c r="B20" s="15" t="s" vm="132">
        <v>195</v>
      </c>
      <c r="C20" s="233" vm="1723">
        <v>881296.53999999992</v>
      </c>
      <c r="D20" s="232" vm="1724">
        <v>416091.31</v>
      </c>
      <c r="E20" s="287">
        <v>47.213541766543194</v>
      </c>
      <c r="F20" s="271" vm="1939">
        <v>73</v>
      </c>
      <c r="G20" s="233" vm="1112">
        <v>38</v>
      </c>
      <c r="H20" s="296">
        <v>52.054794520547944</v>
      </c>
    </row>
    <row r="21" spans="2:17" s="22" customFormat="1" ht="35.450000000000003" customHeight="1" x14ac:dyDescent="0.3">
      <c r="B21" s="15" t="s" vm="107">
        <v>196</v>
      </c>
      <c r="C21" s="233" vm="1610">
        <v>940866.46</v>
      </c>
      <c r="D21" s="232" vm="1557">
        <v>3101722.66</v>
      </c>
      <c r="E21" s="287">
        <v>329.6666202768032</v>
      </c>
      <c r="F21" s="271" vm="1274">
        <v>66</v>
      </c>
      <c r="G21" s="233" vm="1435">
        <v>60</v>
      </c>
      <c r="H21" s="296">
        <v>90.909090909090907</v>
      </c>
    </row>
    <row r="22" spans="2:17" s="22" customFormat="1" ht="35.450000000000003" customHeight="1" x14ac:dyDescent="0.3">
      <c r="B22" s="15" t="s" vm="85">
        <v>197</v>
      </c>
      <c r="C22" s="233" vm="1863">
        <v>2769397.98</v>
      </c>
      <c r="D22" s="232" vm="1942">
        <v>237900.54</v>
      </c>
      <c r="E22" s="287">
        <v>8.5903341346410595</v>
      </c>
      <c r="F22" s="271" vm="1862">
        <v>13</v>
      </c>
      <c r="G22" s="233" vm="1861">
        <v>9</v>
      </c>
      <c r="H22" s="296">
        <v>69.230769230769226</v>
      </c>
    </row>
    <row r="23" spans="2:17" s="22" customFormat="1" ht="35.450000000000003" customHeight="1" x14ac:dyDescent="0.3">
      <c r="B23" s="15" t="s" vm="154">
        <v>198</v>
      </c>
      <c r="C23" s="233" vm="1924">
        <v>819762.51000000013</v>
      </c>
      <c r="D23" s="232" vm="1882">
        <v>369891.64</v>
      </c>
      <c r="E23" s="287">
        <v>45.121804850529209</v>
      </c>
      <c r="F23" s="271" vm="1883">
        <v>12</v>
      </c>
      <c r="G23" s="233" vm="1881">
        <v>6</v>
      </c>
      <c r="H23" s="296">
        <v>50</v>
      </c>
    </row>
    <row r="24" spans="2:17" ht="38.25" customHeight="1" x14ac:dyDescent="0.3">
      <c r="B24" s="15" t="s" vm="131">
        <v>199</v>
      </c>
      <c r="C24" s="233" vm="1224">
        <v>21845</v>
      </c>
      <c r="D24" s="232" vm="986">
        <v>47128.08</v>
      </c>
      <c r="E24" s="287">
        <v>215.73852140077824</v>
      </c>
      <c r="F24" s="271" vm="1661">
        <v>2</v>
      </c>
      <c r="G24" s="233" vm="1086">
        <v>5</v>
      </c>
      <c r="H24" s="296">
        <v>250</v>
      </c>
    </row>
    <row r="25" spans="2:17" ht="37.549999999999997" customHeight="1" x14ac:dyDescent="0.3">
      <c r="B25" s="15" t="s" vm="106">
        <v>200</v>
      </c>
      <c r="C25" s="233" vm="1037">
        <v>3019642.39</v>
      </c>
      <c r="D25" s="232" vm="1444">
        <v>3413551.72</v>
      </c>
      <c r="E25" s="287">
        <v>113.04489999559186</v>
      </c>
      <c r="F25" s="271" vm="1657">
        <v>19</v>
      </c>
      <c r="G25" s="233" vm="1103">
        <v>29</v>
      </c>
      <c r="H25" s="296">
        <v>152.63157894736844</v>
      </c>
    </row>
    <row r="26" spans="2:17" ht="36" customHeight="1" x14ac:dyDescent="0.3">
      <c r="B26" s="15" t="s" vm="84">
        <v>201</v>
      </c>
      <c r="C26" s="233" vm="1511">
        <v>1983530.71</v>
      </c>
      <c r="D26" s="232" vm="1489">
        <v>0</v>
      </c>
      <c r="E26" s="287" t="s">
        <v>127</v>
      </c>
      <c r="F26" s="271" vm="706">
        <v>2</v>
      </c>
      <c r="G26" s="233" vm="744">
        <v>0</v>
      </c>
      <c r="H26" s="296" t="s">
        <v>127</v>
      </c>
    </row>
    <row r="27" spans="2:17" s="22" customFormat="1" ht="31.85" customHeight="1" x14ac:dyDescent="0.3">
      <c r="B27" s="15" t="s" vm="153">
        <v>202</v>
      </c>
      <c r="C27" s="233" vm="1720">
        <v>8683839.8999999985</v>
      </c>
      <c r="D27" s="232" vm="1039">
        <v>13128170.749999998</v>
      </c>
      <c r="E27" s="287">
        <v>151.1793273618506</v>
      </c>
      <c r="F27" s="271" vm="997">
        <v>747</v>
      </c>
      <c r="G27" s="233" vm="1721">
        <v>1133</v>
      </c>
      <c r="H27" s="296">
        <v>151.67336010709505</v>
      </c>
    </row>
    <row r="28" spans="2:17" s="64" customFormat="1" ht="3.75" customHeight="1" thickBot="1" x14ac:dyDescent="0.35">
      <c r="B28" s="15"/>
      <c r="C28" s="233"/>
      <c r="D28" s="232"/>
      <c r="E28" s="287"/>
      <c r="F28" s="271"/>
      <c r="G28" s="233"/>
      <c r="H28" s="296"/>
      <c r="I28" s="79"/>
      <c r="J28" s="79"/>
      <c r="K28" s="79"/>
      <c r="L28" s="79"/>
      <c r="M28" s="63"/>
      <c r="N28" s="63"/>
      <c r="O28" s="63"/>
      <c r="P28" s="63"/>
      <c r="Q28" s="63"/>
    </row>
    <row r="29" spans="2:17" ht="37.549999999999997" customHeight="1" thickBot="1" x14ac:dyDescent="0.35">
      <c r="B29" s="120" t="s" vm="37">
        <v>203</v>
      </c>
      <c r="C29" s="235" vm="801">
        <v>102666428.89000002</v>
      </c>
      <c r="D29" s="234" vm="1014">
        <v>98621422.529999956</v>
      </c>
      <c r="E29" s="243">
        <v>96.060049615309012</v>
      </c>
      <c r="F29" s="235" vm="1034">
        <v>8670</v>
      </c>
      <c r="G29" s="235" vm="1467">
        <v>8127</v>
      </c>
      <c r="H29" s="288">
        <v>93.737024221453296</v>
      </c>
    </row>
    <row r="30" spans="2:17" s="64" customFormat="1" ht="3.75" customHeight="1" x14ac:dyDescent="0.3">
      <c r="B30" s="78"/>
      <c r="C30" s="16" t="s">
        <v>181</v>
      </c>
      <c r="D30" s="79"/>
      <c r="E30" s="29"/>
      <c r="F30" s="79"/>
      <c r="G30" s="18"/>
      <c r="H30" s="296"/>
      <c r="I30" s="79"/>
      <c r="J30" s="79"/>
      <c r="K30" s="79"/>
      <c r="L30" s="79"/>
      <c r="M30" s="63"/>
      <c r="N30" s="63"/>
      <c r="O30" s="63"/>
      <c r="P30" s="63"/>
      <c r="Q30" s="63"/>
    </row>
    <row r="31" spans="2:17" ht="23.3" customHeight="1" x14ac:dyDescent="0.3">
      <c r="B31" s="31" t="s">
        <v>67</v>
      </c>
      <c r="C31" s="236">
        <v>102666428.89000002</v>
      </c>
      <c r="D31" s="252">
        <v>98621422.529999956</v>
      </c>
      <c r="E31" s="283">
        <v>96.060049615309012</v>
      </c>
      <c r="F31" s="236">
        <v>8670</v>
      </c>
      <c r="G31" s="242">
        <v>8127</v>
      </c>
      <c r="H31" s="297">
        <v>93.737024221453296</v>
      </c>
    </row>
    <row r="32" spans="2:17" x14ac:dyDescent="0.3">
      <c r="B32" s="85"/>
      <c r="C32" s="85"/>
      <c r="D32" s="85"/>
      <c r="E32" s="91"/>
      <c r="F32" s="85"/>
      <c r="G32" s="85"/>
      <c r="H32" s="91"/>
      <c r="I32" s="22"/>
      <c r="J32" s="22"/>
      <c r="K32" s="22"/>
      <c r="L32" s="22"/>
    </row>
    <row r="33" spans="2:12" x14ac:dyDescent="0.3">
      <c r="B33" s="85"/>
      <c r="C33" s="85"/>
      <c r="D33" s="85"/>
      <c r="E33" s="91"/>
      <c r="F33" s="85"/>
      <c r="G33" s="85"/>
      <c r="H33" s="91"/>
      <c r="I33" s="22"/>
      <c r="J33" s="22"/>
      <c r="K33" s="22"/>
      <c r="L33" s="22"/>
    </row>
  </sheetData>
  <mergeCells count="5">
    <mergeCell ref="A1:I1"/>
    <mergeCell ref="A2:I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  <pageSetUpPr fitToPage="1"/>
  </sheetPr>
  <dimension ref="A1:U41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2.69921875" style="8" customWidth="1"/>
    <col min="2" max="2" width="47.3984375" style="8" customWidth="1"/>
    <col min="3" max="3" width="16.69921875" style="8" bestFit="1" customWidth="1"/>
    <col min="4" max="4" width="11.296875" style="8" bestFit="1" customWidth="1"/>
    <col min="5" max="5" width="16.69921875" style="8" bestFit="1" customWidth="1"/>
    <col min="6" max="6" width="11.296875" style="8" bestFit="1" customWidth="1"/>
    <col min="7" max="7" width="11.59765625" style="70" bestFit="1" customWidth="1"/>
    <col min="8" max="8" width="13.59765625" style="8" bestFit="1" customWidth="1"/>
    <col min="9" max="9" width="12.296875" style="8" bestFit="1" customWidth="1"/>
    <col min="10" max="10" width="13.59765625" style="8" bestFit="1" customWidth="1"/>
    <col min="11" max="11" width="12.296875" style="8" bestFit="1" customWidth="1"/>
    <col min="12" max="12" width="11.59765625" style="70" customWidth="1"/>
    <col min="13" max="16384" width="9.296875" style="8"/>
  </cols>
  <sheetData>
    <row r="1" spans="1:21" s="22" customFormat="1" ht="58.85" customHeight="1" x14ac:dyDescent="0.3">
      <c r="A1" s="361" t="s">
        <v>180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21" s="22" customFormat="1" ht="13.15" x14ac:dyDescent="0.3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21" ht="21.75" customHeight="1" x14ac:dyDescent="0.35"/>
    <row r="4" spans="1:21" ht="4.8499999999999996" customHeight="1" thickBot="1" x14ac:dyDescent="0.4"/>
    <row r="5" spans="1:21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21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21" s="64" customFormat="1" ht="3.05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21" s="22" customFormat="1" ht="37.549999999999997" customHeight="1" x14ac:dyDescent="0.3">
      <c r="B8" s="15" t="s" vm="105">
        <v>159</v>
      </c>
      <c r="C8" s="233" vm="1616">
        <v>4638837.9200000009</v>
      </c>
      <c r="D8" s="212">
        <v>4.18</v>
      </c>
      <c r="E8" s="233" vm="1078">
        <v>6418119.6700000009</v>
      </c>
      <c r="F8" s="213">
        <v>4.29</v>
      </c>
      <c r="G8" s="287">
        <v>138.35619568273253</v>
      </c>
      <c r="H8" s="271" vm="830">
        <v>49</v>
      </c>
      <c r="I8" s="276">
        <v>0.15</v>
      </c>
      <c r="J8" s="233" vm="1370">
        <v>60</v>
      </c>
      <c r="K8" s="276">
        <v>0.16</v>
      </c>
      <c r="L8" s="206">
        <v>122.44897959183673</v>
      </c>
    </row>
    <row r="9" spans="1:21" s="22" customFormat="1" ht="37.549999999999997" customHeight="1" x14ac:dyDescent="0.3">
      <c r="B9" s="15" t="s" vm="83">
        <v>160</v>
      </c>
      <c r="C9" s="233" vm="1246">
        <v>102132672.13000003</v>
      </c>
      <c r="D9" s="212">
        <v>91.91</v>
      </c>
      <c r="E9" s="233" vm="1631">
        <v>139792275.20000002</v>
      </c>
      <c r="F9" s="213">
        <v>93.4</v>
      </c>
      <c r="G9" s="287">
        <v>136.87321822155479</v>
      </c>
      <c r="H9" s="271" vm="1609">
        <v>30444</v>
      </c>
      <c r="I9" s="276">
        <v>97.82</v>
      </c>
      <c r="J9" s="233" vm="1433">
        <v>38181</v>
      </c>
      <c r="K9" s="276">
        <v>98.62</v>
      </c>
      <c r="L9" s="206">
        <v>125.41387465510445</v>
      </c>
    </row>
    <row r="10" spans="1:21" s="22" customFormat="1" ht="37.549999999999997" customHeight="1" x14ac:dyDescent="0.3">
      <c r="B10" s="15" t="s" vm="152">
        <v>161</v>
      </c>
      <c r="C10" s="233" vm="1473">
        <v>4345235.42</v>
      </c>
      <c r="D10" s="212">
        <v>3.91</v>
      </c>
      <c r="E10" s="233" vm="1770">
        <v>3453678.72</v>
      </c>
      <c r="F10" s="213">
        <v>2.31</v>
      </c>
      <c r="G10" s="287">
        <v>79.481970162159826</v>
      </c>
      <c r="H10" s="271" vm="1771">
        <v>631</v>
      </c>
      <c r="I10" s="276">
        <v>2.0299999999999998</v>
      </c>
      <c r="J10" s="233" vm="1772">
        <v>474</v>
      </c>
      <c r="K10" s="276">
        <v>1.22</v>
      </c>
      <c r="L10" s="206">
        <v>75.118858954041201</v>
      </c>
    </row>
    <row r="11" spans="1:21" s="64" customFormat="1" ht="3.05" customHeight="1" thickBot="1" x14ac:dyDescent="0.35">
      <c r="B11" s="78"/>
      <c r="C11" s="233"/>
      <c r="D11" s="79"/>
      <c r="E11" s="233"/>
      <c r="F11" s="222"/>
      <c r="G11" s="299"/>
      <c r="H11" s="271"/>
      <c r="I11" s="280"/>
      <c r="J11" s="233"/>
      <c r="K11" s="280"/>
      <c r="L11" s="206"/>
      <c r="M11" s="79"/>
      <c r="N11" s="79"/>
      <c r="O11" s="79"/>
      <c r="P11" s="79"/>
      <c r="Q11" s="63"/>
      <c r="R11" s="63"/>
      <c r="S11" s="63"/>
      <c r="T11" s="63"/>
      <c r="U11" s="63"/>
    </row>
    <row r="12" spans="1:21" ht="37.549999999999997" customHeight="1" thickBot="1" x14ac:dyDescent="0.35">
      <c r="B12" s="120" t="s" vm="42">
        <v>162</v>
      </c>
      <c r="C12" s="235" vm="1564">
        <v>111116745.47000001</v>
      </c>
      <c r="D12" s="274">
        <v>100</v>
      </c>
      <c r="E12" s="235" vm="1790">
        <v>149664073.59</v>
      </c>
      <c r="F12" s="255">
        <v>100.00000000000001</v>
      </c>
      <c r="G12" s="243">
        <v>134.69083616241014</v>
      </c>
      <c r="H12" s="235" vm="1692">
        <v>31124</v>
      </c>
      <c r="I12" s="274">
        <v>100</v>
      </c>
      <c r="J12" s="235" vm="1791">
        <v>38715</v>
      </c>
      <c r="K12" s="274">
        <v>100</v>
      </c>
      <c r="L12" s="244">
        <v>124.38953861971468</v>
      </c>
    </row>
    <row r="13" spans="1:21" s="64" customFormat="1" ht="3.05" customHeight="1" x14ac:dyDescent="0.3">
      <c r="B13" s="78"/>
      <c r="C13" s="233"/>
      <c r="D13" s="280"/>
      <c r="E13" s="233"/>
      <c r="F13" s="222"/>
      <c r="G13" s="299"/>
      <c r="H13" s="271"/>
      <c r="I13" s="280"/>
      <c r="J13" s="233"/>
      <c r="K13" s="280"/>
      <c r="L13" s="206"/>
      <c r="M13" s="79"/>
      <c r="N13" s="79"/>
      <c r="O13" s="79"/>
      <c r="P13" s="79"/>
      <c r="Q13" s="63"/>
      <c r="R13" s="63"/>
      <c r="S13" s="63"/>
      <c r="T13" s="63"/>
      <c r="U13" s="63"/>
    </row>
    <row r="14" spans="1:21" s="22" customFormat="1" ht="35.450000000000003" customHeight="1" x14ac:dyDescent="0.3">
      <c r="B14" s="15" t="s" vm="104">
        <v>163</v>
      </c>
      <c r="C14" s="233" vm="1191">
        <v>996672.31</v>
      </c>
      <c r="D14" s="276">
        <v>22.06</v>
      </c>
      <c r="E14" s="233" vm="809">
        <v>1238370.51</v>
      </c>
      <c r="F14" s="213">
        <v>28.06</v>
      </c>
      <c r="G14" s="287">
        <v>124.25051820693203</v>
      </c>
      <c r="H14" s="271" vm="1219">
        <v>419</v>
      </c>
      <c r="I14" s="276">
        <v>80.58</v>
      </c>
      <c r="J14" s="233" vm="966">
        <v>432</v>
      </c>
      <c r="K14" s="276">
        <v>76.06</v>
      </c>
      <c r="L14" s="206">
        <v>103.10262529832937</v>
      </c>
    </row>
    <row r="15" spans="1:21" s="22" customFormat="1" ht="35.450000000000003" customHeight="1" x14ac:dyDescent="0.3">
      <c r="B15" s="15" t="s" vm="82">
        <v>164</v>
      </c>
      <c r="C15" s="233" vm="1320">
        <v>3520408.7200000007</v>
      </c>
      <c r="D15" s="276">
        <v>77.94</v>
      </c>
      <c r="E15" s="233" vm="1798">
        <v>3174173.66</v>
      </c>
      <c r="F15" s="213">
        <v>71.94</v>
      </c>
      <c r="G15" s="287">
        <v>90.164918691600093</v>
      </c>
      <c r="H15" s="271" vm="1799">
        <v>101</v>
      </c>
      <c r="I15" s="276">
        <v>19.420000000000002</v>
      </c>
      <c r="J15" s="233" vm="1797">
        <v>136</v>
      </c>
      <c r="K15" s="276">
        <v>23.94</v>
      </c>
      <c r="L15" s="206">
        <v>134.65346534653466</v>
      </c>
    </row>
    <row r="16" spans="1:21" ht="3.75" customHeight="1" thickBot="1" x14ac:dyDescent="0.35">
      <c r="B16" s="32"/>
      <c r="C16" s="233"/>
      <c r="D16" s="276"/>
      <c r="E16" s="233"/>
      <c r="F16" s="301"/>
      <c r="G16" s="287"/>
      <c r="H16" s="271"/>
      <c r="I16" s="298"/>
      <c r="J16" s="233"/>
      <c r="K16" s="298"/>
      <c r="L16" s="206"/>
    </row>
    <row r="17" spans="2:21" ht="37.549999999999997" customHeight="1" thickBot="1" x14ac:dyDescent="0.35">
      <c r="B17" s="120" t="s" vm="33">
        <v>165</v>
      </c>
      <c r="C17" s="235" vm="1137">
        <v>4517081.0299999993</v>
      </c>
      <c r="D17" s="274">
        <v>100</v>
      </c>
      <c r="E17" s="235" vm="1237">
        <v>4412544.1700000009</v>
      </c>
      <c r="F17" s="255">
        <v>100</v>
      </c>
      <c r="G17" s="243">
        <v>97.685743087057304</v>
      </c>
      <c r="H17" s="235" vm="846">
        <v>520</v>
      </c>
      <c r="I17" s="274">
        <v>100</v>
      </c>
      <c r="J17" s="235" vm="1130">
        <v>568</v>
      </c>
      <c r="K17" s="274">
        <v>100</v>
      </c>
      <c r="L17" s="244">
        <v>109.23076923076923</v>
      </c>
    </row>
    <row r="18" spans="2:21" ht="4.8499999999999996" customHeight="1" x14ac:dyDescent="0.3">
      <c r="B18" s="37"/>
      <c r="C18" s="233"/>
      <c r="D18" s="275"/>
      <c r="E18" s="233"/>
      <c r="F18" s="256"/>
      <c r="G18" s="287"/>
      <c r="H18" s="271"/>
      <c r="I18" s="275"/>
      <c r="J18" s="233"/>
      <c r="K18" s="275"/>
      <c r="L18" s="206"/>
    </row>
    <row r="19" spans="2:21" ht="38.25" customHeight="1" x14ac:dyDescent="0.3">
      <c r="B19" s="15" t="s" vm="130">
        <v>166</v>
      </c>
      <c r="C19" s="233" vm="1937">
        <v>30397981.609999999</v>
      </c>
      <c r="D19" s="276">
        <v>43.06</v>
      </c>
      <c r="E19" s="233" vm="1890">
        <v>26925606.379999999</v>
      </c>
      <c r="F19" s="213">
        <v>30.38</v>
      </c>
      <c r="G19" s="287">
        <v>88.576954632877019</v>
      </c>
      <c r="H19" s="271" vm="1891">
        <v>2278</v>
      </c>
      <c r="I19" s="276">
        <v>7.93</v>
      </c>
      <c r="J19" s="233" vm="1588">
        <v>3160</v>
      </c>
      <c r="K19" s="276">
        <v>3.01</v>
      </c>
      <c r="L19" s="206">
        <v>138.71817383669887</v>
      </c>
    </row>
    <row r="20" spans="2:21" ht="38.25" customHeight="1" x14ac:dyDescent="0.3">
      <c r="B20" s="15" t="s" vm="103">
        <v>167</v>
      </c>
      <c r="C20" s="233" vm="1945">
        <v>1223502.8599999996</v>
      </c>
      <c r="D20" s="276">
        <v>1.73</v>
      </c>
      <c r="E20" s="233" vm="1203">
        <v>1321493.94</v>
      </c>
      <c r="F20" s="213">
        <v>1.49</v>
      </c>
      <c r="G20" s="287">
        <v>108.00906015046017</v>
      </c>
      <c r="H20" s="271" vm="1475">
        <v>74</v>
      </c>
      <c r="I20" s="276">
        <v>0.26</v>
      </c>
      <c r="J20" s="233" vm="1131">
        <v>128</v>
      </c>
      <c r="K20" s="276">
        <v>0.12</v>
      </c>
      <c r="L20" s="206">
        <v>172.97297297297297</v>
      </c>
    </row>
    <row r="21" spans="2:21" ht="38.25" customHeight="1" x14ac:dyDescent="0.3">
      <c r="B21" s="15" t="s" vm="81">
        <v>168</v>
      </c>
      <c r="C21" s="233" vm="1758">
        <v>527749.98</v>
      </c>
      <c r="D21" s="276">
        <v>0.75</v>
      </c>
      <c r="E21" s="233" vm="1757">
        <v>0</v>
      </c>
      <c r="F21" s="213">
        <v>0</v>
      </c>
      <c r="G21" s="287" t="s">
        <v>127</v>
      </c>
      <c r="H21" s="271" vm="1522">
        <v>12</v>
      </c>
      <c r="I21" s="276">
        <v>0.04</v>
      </c>
      <c r="J21" s="233" vm="1069">
        <v>0</v>
      </c>
      <c r="K21" s="276">
        <v>0</v>
      </c>
      <c r="L21" s="204" t="s">
        <v>127</v>
      </c>
    </row>
    <row r="22" spans="2:21" ht="37.549999999999997" customHeight="1" x14ac:dyDescent="0.3">
      <c r="B22" s="15" t="s" vm="151">
        <v>169</v>
      </c>
      <c r="C22" s="233" vm="1584">
        <v>436632.3000000001</v>
      </c>
      <c r="D22" s="276">
        <v>0.62</v>
      </c>
      <c r="E22" s="233" vm="1282">
        <v>541328.16</v>
      </c>
      <c r="F22" s="213">
        <v>0.61</v>
      </c>
      <c r="G22" s="287">
        <v>123.97803827156166</v>
      </c>
      <c r="H22" s="271" vm="1105">
        <v>46</v>
      </c>
      <c r="I22" s="276">
        <v>0.16</v>
      </c>
      <c r="J22" s="233" vm="1567">
        <v>43</v>
      </c>
      <c r="K22" s="276">
        <v>0.04</v>
      </c>
      <c r="L22" s="206">
        <v>93.478260869565219</v>
      </c>
    </row>
    <row r="23" spans="2:21" ht="36" customHeight="1" x14ac:dyDescent="0.3">
      <c r="B23" s="15" t="s" vm="129">
        <v>170</v>
      </c>
      <c r="C23" s="233" vm="1603">
        <v>3246371.4000000004</v>
      </c>
      <c r="D23" s="276">
        <v>4.5999999999999996</v>
      </c>
      <c r="E23" s="233" vm="1824">
        <v>3429534.7599999988</v>
      </c>
      <c r="F23" s="213">
        <v>3.87</v>
      </c>
      <c r="G23" s="287">
        <v>105.64209504802804</v>
      </c>
      <c r="H23" s="271" vm="1405">
        <v>17836</v>
      </c>
      <c r="I23" s="276">
        <v>62.08</v>
      </c>
      <c r="J23" s="233" vm="1825">
        <v>18339</v>
      </c>
      <c r="K23" s="276">
        <v>17.5</v>
      </c>
      <c r="L23" s="206">
        <v>102.82013904462883</v>
      </c>
    </row>
    <row r="24" spans="2:21" s="22" customFormat="1" ht="31.85" customHeight="1" x14ac:dyDescent="0.3">
      <c r="B24" s="15" t="s" vm="102">
        <v>171</v>
      </c>
      <c r="C24" s="233" vm="1792">
        <v>34752538.659999996</v>
      </c>
      <c r="D24" s="276">
        <v>49.24</v>
      </c>
      <c r="E24" s="233" vm="1793">
        <v>56410885.929999992</v>
      </c>
      <c r="F24" s="213">
        <v>63.65</v>
      </c>
      <c r="G24" s="287">
        <v>162.32162629007775</v>
      </c>
      <c r="H24" s="271" vm="1229">
        <v>8483</v>
      </c>
      <c r="I24" s="276">
        <v>29.53</v>
      </c>
      <c r="J24" s="233" vm="1794">
        <v>83147</v>
      </c>
      <c r="K24" s="276">
        <v>79.33</v>
      </c>
      <c r="L24" s="206">
        <v>980.16032064128262</v>
      </c>
    </row>
    <row r="25" spans="2:21" s="64" customFormat="1" ht="3.75" customHeight="1" thickBot="1" x14ac:dyDescent="0.35">
      <c r="C25" s="233"/>
      <c r="D25" s="276"/>
      <c r="E25" s="233"/>
      <c r="F25" s="213"/>
      <c r="G25" s="287"/>
      <c r="H25" s="271"/>
      <c r="I25" s="276"/>
      <c r="J25" s="233"/>
      <c r="K25" s="276"/>
      <c r="L25" s="206"/>
      <c r="M25" s="79"/>
      <c r="N25" s="79"/>
      <c r="O25" s="79"/>
      <c r="P25" s="79"/>
      <c r="Q25" s="63"/>
      <c r="R25" s="63"/>
      <c r="S25" s="63"/>
      <c r="T25" s="63"/>
      <c r="U25" s="63"/>
    </row>
    <row r="26" spans="2:21" ht="37.549999999999997" customHeight="1" thickBot="1" x14ac:dyDescent="0.35">
      <c r="B26" s="120" t="s" vm="49">
        <v>172</v>
      </c>
      <c r="C26" s="235" vm="973">
        <v>70584776.810000002</v>
      </c>
      <c r="D26" s="274">
        <v>100</v>
      </c>
      <c r="E26" s="235" vm="1462">
        <v>88628849.169999972</v>
      </c>
      <c r="F26" s="255">
        <v>100</v>
      </c>
      <c r="G26" s="243">
        <v>125.56368834114326</v>
      </c>
      <c r="H26" s="235" vm="1003">
        <v>28729</v>
      </c>
      <c r="I26" s="274">
        <v>100</v>
      </c>
      <c r="J26" s="235" vm="741">
        <v>104817</v>
      </c>
      <c r="K26" s="274">
        <v>100</v>
      </c>
      <c r="L26" s="244">
        <v>364.84736677225101</v>
      </c>
    </row>
    <row r="27" spans="2:21" s="64" customFormat="1" ht="3.75" customHeight="1" x14ac:dyDescent="0.3">
      <c r="C27" s="233"/>
      <c r="D27" s="276"/>
      <c r="E27" s="233"/>
      <c r="F27" s="213"/>
      <c r="G27" s="287"/>
      <c r="H27" s="271"/>
      <c r="I27" s="276"/>
      <c r="J27" s="233"/>
      <c r="K27" s="276"/>
      <c r="L27" s="206"/>
      <c r="M27" s="79"/>
      <c r="N27" s="79"/>
      <c r="O27" s="79"/>
      <c r="P27" s="79"/>
      <c r="Q27" s="63"/>
      <c r="R27" s="63"/>
      <c r="S27" s="63"/>
      <c r="T27" s="63"/>
      <c r="U27" s="63"/>
    </row>
    <row r="28" spans="2:21" s="22" customFormat="1" ht="31.85" customHeight="1" x14ac:dyDescent="0.3">
      <c r="B28" s="15" t="s" vm="150">
        <v>173</v>
      </c>
      <c r="C28" s="233" vm="1711">
        <v>1833043.2299999997</v>
      </c>
      <c r="D28" s="276">
        <v>100</v>
      </c>
      <c r="E28" s="233" vm="1023">
        <v>1850956.9800000002</v>
      </c>
      <c r="F28" s="213">
        <v>100</v>
      </c>
      <c r="G28" s="287">
        <v>100.97726827751904</v>
      </c>
      <c r="H28" s="271" vm="877">
        <v>4468</v>
      </c>
      <c r="I28" s="276">
        <v>100</v>
      </c>
      <c r="J28" s="233" vm="1712">
        <v>7349</v>
      </c>
      <c r="K28" s="276">
        <v>100</v>
      </c>
      <c r="L28" s="206">
        <v>164.48075201432408</v>
      </c>
    </row>
    <row r="29" spans="2:21" s="64" customFormat="1" ht="3.75" customHeight="1" thickBot="1" x14ac:dyDescent="0.35">
      <c r="C29" s="233"/>
      <c r="D29" s="276"/>
      <c r="E29" s="233"/>
      <c r="F29" s="213"/>
      <c r="G29" s="287"/>
      <c r="H29" s="271"/>
      <c r="I29" s="276"/>
      <c r="J29" s="233"/>
      <c r="K29" s="276"/>
      <c r="L29" s="206"/>
      <c r="M29" s="79"/>
      <c r="N29" s="79"/>
      <c r="O29" s="79"/>
      <c r="P29" s="79"/>
      <c r="Q29" s="63"/>
      <c r="R29" s="63"/>
      <c r="S29" s="63"/>
      <c r="T29" s="63"/>
      <c r="U29" s="63"/>
    </row>
    <row r="30" spans="2:21" ht="37.549999999999997" customHeight="1" thickBot="1" x14ac:dyDescent="0.35">
      <c r="B30" s="120" t="s" vm="46">
        <v>174</v>
      </c>
      <c r="C30" s="235" vm="1885">
        <v>1833043.2299999997</v>
      </c>
      <c r="D30" s="274">
        <v>100</v>
      </c>
      <c r="E30" s="235" vm="1884">
        <v>1850956.9800000002</v>
      </c>
      <c r="F30" s="255">
        <v>100</v>
      </c>
      <c r="G30" s="243">
        <v>100.97726827751904</v>
      </c>
      <c r="H30" s="235" vm="1639">
        <v>4468</v>
      </c>
      <c r="I30" s="274">
        <v>100</v>
      </c>
      <c r="J30" s="235" vm="1886">
        <v>7349</v>
      </c>
      <c r="K30" s="274">
        <v>100</v>
      </c>
      <c r="L30" s="244">
        <v>164.48075201432408</v>
      </c>
    </row>
    <row r="31" spans="2:21" s="64" customFormat="1" ht="3.75" customHeight="1" x14ac:dyDescent="0.3">
      <c r="B31" s="78"/>
      <c r="C31" s="233"/>
      <c r="D31" s="280"/>
      <c r="E31" s="233"/>
      <c r="F31" s="222"/>
      <c r="G31" s="204"/>
      <c r="H31" s="271"/>
      <c r="I31" s="280"/>
      <c r="J31" s="233"/>
      <c r="K31" s="280"/>
      <c r="L31" s="206"/>
      <c r="M31" s="79"/>
      <c r="N31" s="79"/>
      <c r="O31" s="79"/>
      <c r="P31" s="79"/>
      <c r="Q31" s="63"/>
      <c r="R31" s="63"/>
      <c r="S31" s="63"/>
      <c r="T31" s="63"/>
      <c r="U31" s="63"/>
    </row>
    <row r="32" spans="2:21" s="22" customFormat="1" ht="37.549999999999997" customHeight="1" x14ac:dyDescent="0.3">
      <c r="B32" s="15" t="s" vm="101">
        <v>175</v>
      </c>
      <c r="C32" s="233" vm="1456">
        <v>946378.91</v>
      </c>
      <c r="D32" s="276">
        <v>2.34</v>
      </c>
      <c r="E32" s="233" vm="1927">
        <v>643650.4</v>
      </c>
      <c r="F32" s="213">
        <v>1.63</v>
      </c>
      <c r="G32" s="287">
        <v>68.011912902835078</v>
      </c>
      <c r="H32" s="271" vm="1488">
        <v>8555</v>
      </c>
      <c r="I32" s="276">
        <v>4.53</v>
      </c>
      <c r="J32" s="233" vm="1075">
        <v>6743</v>
      </c>
      <c r="K32" s="276">
        <v>3.38</v>
      </c>
      <c r="L32" s="206">
        <v>78.81940385739334</v>
      </c>
    </row>
    <row r="33" spans="2:21" s="22" customFormat="1" ht="37.549999999999997" customHeight="1" x14ac:dyDescent="0.3">
      <c r="B33" s="15" t="s" vm="80">
        <v>176</v>
      </c>
      <c r="C33" s="233" vm="1208">
        <v>25049949.250000004</v>
      </c>
      <c r="D33" s="276">
        <v>62.059999999999995</v>
      </c>
      <c r="E33" s="233" vm="1143">
        <v>23642611.029999997</v>
      </c>
      <c r="F33" s="213">
        <v>59.86</v>
      </c>
      <c r="G33" s="287">
        <v>94.381871971257553</v>
      </c>
      <c r="H33" s="271" vm="1287">
        <v>99728</v>
      </c>
      <c r="I33" s="276">
        <v>52.84</v>
      </c>
      <c r="J33" s="233" vm="1923">
        <v>83091</v>
      </c>
      <c r="K33" s="276">
        <v>41.73</v>
      </c>
      <c r="L33" s="206">
        <v>83.317623937108934</v>
      </c>
    </row>
    <row r="34" spans="2:21" s="22" customFormat="1" ht="37.549999999999997" customHeight="1" x14ac:dyDescent="0.3">
      <c r="B34" s="15" t="s" vm="149">
        <v>177</v>
      </c>
      <c r="C34" s="233" vm="1114">
        <v>10043849.119999999</v>
      </c>
      <c r="D34" s="276">
        <v>24.88</v>
      </c>
      <c r="E34" s="233" vm="876">
        <v>11088269.93</v>
      </c>
      <c r="F34" s="213">
        <v>28.08</v>
      </c>
      <c r="G34" s="287">
        <v>110.3986111053807</v>
      </c>
      <c r="H34" s="271" vm="894">
        <v>77447</v>
      </c>
      <c r="I34" s="276">
        <v>41.04</v>
      </c>
      <c r="J34" s="233" vm="1324">
        <v>107070</v>
      </c>
      <c r="K34" s="276">
        <v>53.77</v>
      </c>
      <c r="L34" s="206">
        <v>138.24938344932664</v>
      </c>
    </row>
    <row r="35" spans="2:21" s="22" customFormat="1" ht="37.549999999999997" customHeight="1" x14ac:dyDescent="0.3">
      <c r="B35" s="15" t="s" vm="128">
        <v>178</v>
      </c>
      <c r="C35" s="233" vm="1315">
        <v>4325922.18</v>
      </c>
      <c r="D35" s="276">
        <v>10.72</v>
      </c>
      <c r="E35" s="233" vm="1414">
        <v>4117899.16</v>
      </c>
      <c r="F35" s="213">
        <v>10.43</v>
      </c>
      <c r="G35" s="287">
        <v>95.191244517486922</v>
      </c>
      <c r="H35" s="271" vm="1256">
        <v>2995</v>
      </c>
      <c r="I35" s="276">
        <v>1.59</v>
      </c>
      <c r="J35" s="233" vm="1286">
        <v>2223</v>
      </c>
      <c r="K35" s="276">
        <v>1.1200000000000001</v>
      </c>
      <c r="L35" s="206">
        <v>74.223706176961599</v>
      </c>
    </row>
    <row r="36" spans="2:21" s="64" customFormat="1" ht="3.05" customHeight="1" thickBot="1" x14ac:dyDescent="0.35">
      <c r="B36" s="78"/>
      <c r="C36" s="233"/>
      <c r="D36" s="280"/>
      <c r="E36" s="233"/>
      <c r="F36" s="213"/>
      <c r="G36" s="299"/>
      <c r="H36" s="271"/>
      <c r="I36" s="276"/>
      <c r="J36" s="233"/>
      <c r="K36" s="276"/>
      <c r="L36" s="206"/>
      <c r="M36" s="79"/>
      <c r="N36" s="79"/>
      <c r="O36" s="79"/>
      <c r="P36" s="79"/>
      <c r="Q36" s="63"/>
      <c r="R36" s="63"/>
      <c r="S36" s="63"/>
      <c r="T36" s="63"/>
      <c r="U36" s="63"/>
    </row>
    <row r="37" spans="2:21" ht="37.549999999999997" customHeight="1" thickBot="1" x14ac:dyDescent="0.35">
      <c r="B37" s="120" t="s" vm="41">
        <v>179</v>
      </c>
      <c r="C37" s="235" vm="1316">
        <v>40366099.460000001</v>
      </c>
      <c r="D37" s="274">
        <v>99.999999999999986</v>
      </c>
      <c r="E37" s="235" vm="959">
        <v>39492430.520000003</v>
      </c>
      <c r="F37" s="255">
        <v>100</v>
      </c>
      <c r="G37" s="243">
        <v>97.835636953563608</v>
      </c>
      <c r="H37" s="235" vm="1066">
        <v>188725</v>
      </c>
      <c r="I37" s="274">
        <v>100</v>
      </c>
      <c r="J37" s="235" vm="1570">
        <v>199127</v>
      </c>
      <c r="K37" s="274">
        <v>100</v>
      </c>
      <c r="L37" s="244">
        <v>105.51172340707377</v>
      </c>
    </row>
    <row r="38" spans="2:21" s="64" customFormat="1" ht="3.05" customHeight="1" x14ac:dyDescent="0.3">
      <c r="B38" s="78"/>
      <c r="C38" s="16"/>
      <c r="D38" s="280"/>
      <c r="E38" s="16" t="s">
        <v>181</v>
      </c>
      <c r="F38" s="222"/>
      <c r="G38" s="299"/>
      <c r="H38" s="42"/>
      <c r="I38" s="280"/>
      <c r="J38" s="18" t="s">
        <v>181</v>
      </c>
      <c r="K38" s="280"/>
      <c r="L38" s="29"/>
      <c r="M38" s="79"/>
      <c r="N38" s="79"/>
      <c r="O38" s="79"/>
      <c r="P38" s="79"/>
      <c r="Q38" s="63"/>
      <c r="R38" s="63"/>
      <c r="S38" s="63"/>
      <c r="T38" s="63"/>
      <c r="U38" s="63"/>
    </row>
    <row r="39" spans="2:21" ht="23.3" customHeight="1" x14ac:dyDescent="0.3">
      <c r="B39" s="31" t="s">
        <v>68</v>
      </c>
      <c r="C39" s="242">
        <v>228417746</v>
      </c>
      <c r="D39" s="281"/>
      <c r="E39" s="242">
        <v>284048854.42999995</v>
      </c>
      <c r="F39" s="263"/>
      <c r="G39" s="246">
        <v>124.35498528647592</v>
      </c>
      <c r="H39" s="236">
        <v>253566</v>
      </c>
      <c r="I39" s="281"/>
      <c r="J39" s="21">
        <v>350576</v>
      </c>
      <c r="K39" s="281"/>
      <c r="L39" s="246">
        <v>138.25828383931599</v>
      </c>
    </row>
    <row r="40" spans="2:21" x14ac:dyDescent="0.3">
      <c r="B40" s="85"/>
      <c r="C40" s="85"/>
      <c r="D40" s="85"/>
      <c r="E40" s="85"/>
      <c r="F40" s="85"/>
      <c r="G40" s="91"/>
      <c r="H40" s="85"/>
      <c r="I40" s="85"/>
      <c r="J40" s="85"/>
      <c r="K40" s="85"/>
      <c r="L40" s="91"/>
      <c r="M40" s="22"/>
      <c r="N40" s="22"/>
      <c r="O40" s="22"/>
      <c r="P40" s="22"/>
    </row>
    <row r="41" spans="2:21" x14ac:dyDescent="0.3">
      <c r="B41" s="85"/>
      <c r="C41" s="85"/>
      <c r="D41" s="85"/>
      <c r="E41" s="85"/>
      <c r="F41" s="85"/>
      <c r="G41" s="91"/>
      <c r="H41" s="85"/>
      <c r="I41" s="85"/>
      <c r="J41" s="85"/>
      <c r="K41" s="85"/>
      <c r="L41" s="91"/>
      <c r="M41" s="22"/>
      <c r="N41" s="22"/>
      <c r="O41" s="22"/>
      <c r="P41" s="22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39997558519241921"/>
    <pageSetUpPr fitToPage="1"/>
  </sheetPr>
  <dimension ref="A1:Q41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74.69921875" style="8" customWidth="1"/>
    <col min="3" max="4" width="16.69921875" style="8" bestFit="1" customWidth="1"/>
    <col min="5" max="5" width="11.59765625" style="70" bestFit="1" customWidth="1"/>
    <col min="6" max="7" width="13.59765625" style="8" bestFit="1" customWidth="1"/>
    <col min="8" max="8" width="11.59765625" style="70" customWidth="1"/>
    <col min="9" max="16384" width="9.296875" style="8"/>
  </cols>
  <sheetData>
    <row r="1" spans="1:17" s="22" customFormat="1" ht="58.85" customHeight="1" x14ac:dyDescent="0.3">
      <c r="A1" s="361" t="s">
        <v>158</v>
      </c>
      <c r="B1" s="361"/>
      <c r="C1" s="361"/>
      <c r="D1" s="361"/>
      <c r="E1" s="361"/>
      <c r="F1" s="361"/>
      <c r="G1" s="361"/>
      <c r="H1" s="361"/>
    </row>
    <row r="2" spans="1:17" s="22" customFormat="1" ht="13.15" x14ac:dyDescent="0.35">
      <c r="A2" s="337"/>
      <c r="B2" s="337"/>
      <c r="C2" s="337"/>
      <c r="D2" s="337"/>
      <c r="E2" s="337"/>
      <c r="F2" s="337"/>
      <c r="G2" s="337"/>
      <c r="H2" s="337"/>
    </row>
    <row r="3" spans="1:17" ht="21.75" customHeight="1" x14ac:dyDescent="0.35"/>
    <row r="4" spans="1:17" ht="4.8499999999999996" customHeight="1" thickBot="1" x14ac:dyDescent="0.4"/>
    <row r="5" spans="1:17" s="62" customFormat="1" ht="14.95" customHeight="1" x14ac:dyDescent="0.3">
      <c r="B5" s="356" t="s">
        <v>44</v>
      </c>
      <c r="C5" s="354" t="s">
        <v>66</v>
      </c>
      <c r="D5" s="354"/>
      <c r="E5" s="354"/>
      <c r="F5" s="354" t="s">
        <v>42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3.05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37.549999999999997" customHeight="1" x14ac:dyDescent="0.3">
      <c r="B8" s="15" t="s" vm="105">
        <v>159</v>
      </c>
      <c r="C8" s="232" vm="918">
        <v>1257207.33</v>
      </c>
      <c r="D8" s="233" vm="1480">
        <v>1459291.49</v>
      </c>
      <c r="E8" s="287">
        <v>116.07405200222622</v>
      </c>
      <c r="F8" s="271" vm="1152">
        <v>4</v>
      </c>
      <c r="G8" s="233" vm="1288">
        <v>0</v>
      </c>
      <c r="H8" s="204" t="s">
        <v>127</v>
      </c>
    </row>
    <row r="9" spans="1:17" s="22" customFormat="1" ht="37.549999999999997" customHeight="1" x14ac:dyDescent="0.3">
      <c r="B9" s="15" t="s" vm="83">
        <v>160</v>
      </c>
      <c r="C9" s="232" vm="1574">
        <v>16515003.970000003</v>
      </c>
      <c r="D9" s="233" vm="1271">
        <v>12971323.91</v>
      </c>
      <c r="E9" s="287">
        <v>78.542662984294751</v>
      </c>
      <c r="F9" s="271" vm="1431">
        <v>2321</v>
      </c>
      <c r="G9" s="233" vm="1113">
        <v>2264</v>
      </c>
      <c r="H9" s="204">
        <v>97.544161999138296</v>
      </c>
    </row>
    <row r="10" spans="1:17" s="22" customFormat="1" ht="37.549999999999997" customHeight="1" x14ac:dyDescent="0.3">
      <c r="B10" s="15" t="s" vm="152">
        <v>161</v>
      </c>
      <c r="C10" s="232" vm="1461">
        <v>6819536.3099999996</v>
      </c>
      <c r="D10" s="233" vm="1804">
        <v>3858114.1600000006</v>
      </c>
      <c r="E10" s="287">
        <v>56.574435337231911</v>
      </c>
      <c r="F10" s="271" vm="1803">
        <v>28</v>
      </c>
      <c r="G10" s="233" vm="1581">
        <v>26</v>
      </c>
      <c r="H10" s="204">
        <v>92.857142857142861</v>
      </c>
    </row>
    <row r="11" spans="1:17" s="64" customFormat="1" ht="3.05" customHeight="1" thickBot="1" x14ac:dyDescent="0.35">
      <c r="B11" s="78"/>
      <c r="C11" s="232"/>
      <c r="D11" s="233"/>
      <c r="E11" s="299"/>
      <c r="F11" s="271"/>
      <c r="G11" s="233"/>
      <c r="H11" s="204"/>
      <c r="I11" s="79"/>
      <c r="J11" s="79"/>
      <c r="K11" s="79"/>
      <c r="L11" s="79"/>
      <c r="M11" s="63"/>
      <c r="N11" s="63"/>
      <c r="O11" s="63"/>
      <c r="P11" s="63"/>
      <c r="Q11" s="63"/>
    </row>
    <row r="12" spans="1:17" ht="37.549999999999997" customHeight="1" thickBot="1" x14ac:dyDescent="0.35">
      <c r="B12" s="120" t="s" vm="42">
        <v>162</v>
      </c>
      <c r="C12" s="234" vm="1665">
        <v>24591747.609999999</v>
      </c>
      <c r="D12" s="235" vm="1632">
        <v>18288729.559999999</v>
      </c>
      <c r="E12" s="243">
        <v>74.369377280706388</v>
      </c>
      <c r="F12" s="235" vm="1276">
        <v>2353</v>
      </c>
      <c r="G12" s="235" vm="1437">
        <v>2290</v>
      </c>
      <c r="H12" s="243">
        <v>97.3225669358266</v>
      </c>
    </row>
    <row r="13" spans="1:17" s="64" customFormat="1" ht="3.05" customHeight="1" x14ac:dyDescent="0.3">
      <c r="B13" s="78"/>
      <c r="C13" s="232"/>
      <c r="D13" s="233"/>
      <c r="E13" s="299"/>
      <c r="F13" s="271"/>
      <c r="G13" s="233"/>
      <c r="H13" s="204"/>
      <c r="I13" s="79"/>
      <c r="J13" s="79"/>
      <c r="K13" s="79"/>
      <c r="L13" s="79"/>
      <c r="M13" s="63"/>
      <c r="N13" s="63"/>
      <c r="O13" s="63"/>
      <c r="P13" s="63"/>
      <c r="Q13" s="63"/>
    </row>
    <row r="14" spans="1:17" s="22" customFormat="1" ht="35.450000000000003" customHeight="1" x14ac:dyDescent="0.3">
      <c r="B14" s="15" t="s" vm="104">
        <v>163</v>
      </c>
      <c r="C14" s="232" vm="1293">
        <v>566165.30999999994</v>
      </c>
      <c r="D14" s="233" vm="1187">
        <v>4598342.7299999995</v>
      </c>
      <c r="E14" s="287">
        <v>812.19082991856214</v>
      </c>
      <c r="F14" s="271" vm="1513">
        <v>39</v>
      </c>
      <c r="G14" s="233" vm="1361">
        <v>15</v>
      </c>
      <c r="H14" s="204">
        <v>38.461538461538467</v>
      </c>
    </row>
    <row r="15" spans="1:17" s="22" customFormat="1" ht="35.450000000000003" customHeight="1" x14ac:dyDescent="0.3">
      <c r="B15" s="15" t="s" vm="82">
        <v>164</v>
      </c>
      <c r="C15" s="232" vm="1061">
        <v>1073784.72</v>
      </c>
      <c r="D15" s="233" vm="1921">
        <v>1758016.6199999999</v>
      </c>
      <c r="E15" s="287">
        <v>163.72151579880926</v>
      </c>
      <c r="F15" s="271" vm="1755">
        <v>268</v>
      </c>
      <c r="G15" s="233" vm="1756">
        <v>291</v>
      </c>
      <c r="H15" s="204">
        <v>108.5820895522388</v>
      </c>
    </row>
    <row r="16" spans="1:17" ht="3.75" customHeight="1" thickBot="1" x14ac:dyDescent="0.35">
      <c r="B16" s="32"/>
      <c r="C16" s="232"/>
      <c r="D16" s="233"/>
      <c r="E16" s="287"/>
      <c r="F16" s="271"/>
      <c r="G16" s="233"/>
      <c r="H16" s="204"/>
    </row>
    <row r="17" spans="2:17" ht="37.549999999999997" customHeight="1" thickBot="1" x14ac:dyDescent="0.35">
      <c r="B17" s="120" t="s" vm="33">
        <v>165</v>
      </c>
      <c r="C17" s="234" vm="1016">
        <v>1639950.0299999996</v>
      </c>
      <c r="D17" s="235" vm="1277">
        <v>6356359.3499999987</v>
      </c>
      <c r="E17" s="243">
        <v>387.59469701646947</v>
      </c>
      <c r="F17" s="235" vm="1578">
        <v>307</v>
      </c>
      <c r="G17" s="235" vm="1230">
        <v>306</v>
      </c>
      <c r="H17" s="243">
        <v>99.674267100977204</v>
      </c>
    </row>
    <row r="18" spans="2:17" ht="4.8499999999999996" customHeight="1" x14ac:dyDescent="0.3">
      <c r="B18" s="37"/>
      <c r="C18" s="232"/>
      <c r="D18" s="233"/>
      <c r="E18" s="287"/>
      <c r="F18" s="271"/>
      <c r="G18" s="233"/>
      <c r="H18" s="204"/>
    </row>
    <row r="19" spans="2:17" ht="38.25" customHeight="1" x14ac:dyDescent="0.3">
      <c r="B19" s="15" t="s" vm="130">
        <v>166</v>
      </c>
      <c r="C19" s="232" vm="1400">
        <v>55936545.850000001</v>
      </c>
      <c r="D19" s="233" vm="1424">
        <v>1383452.8699999999</v>
      </c>
      <c r="E19" s="287">
        <v>2.473254021994638</v>
      </c>
      <c r="F19" s="271" vm="1822">
        <v>4</v>
      </c>
      <c r="G19" s="233" vm="1823">
        <v>9</v>
      </c>
      <c r="H19" s="204">
        <v>225</v>
      </c>
    </row>
    <row r="20" spans="2:17" ht="38.25" customHeight="1" x14ac:dyDescent="0.3">
      <c r="B20" s="15" t="s" vm="103">
        <v>167</v>
      </c>
      <c r="C20" s="232" vm="947">
        <v>907519.30999999994</v>
      </c>
      <c r="D20" s="233" vm="878">
        <v>171462.77000000002</v>
      </c>
      <c r="E20" s="287">
        <v>18.893567124208083</v>
      </c>
      <c r="F20" s="271" vm="1021">
        <v>5</v>
      </c>
      <c r="G20" s="233" vm="1625">
        <v>43</v>
      </c>
      <c r="H20" s="204">
        <v>860</v>
      </c>
    </row>
    <row r="21" spans="2:17" ht="38.25" customHeight="1" x14ac:dyDescent="0.3">
      <c r="B21" s="15" t="s" vm="81">
        <v>168</v>
      </c>
      <c r="C21" s="232" vm="1690">
        <v>20000</v>
      </c>
      <c r="D21" s="233" vm="1842">
        <v>0</v>
      </c>
      <c r="E21" s="287" t="s">
        <v>127</v>
      </c>
      <c r="F21" s="271" vm="1844">
        <v>1</v>
      </c>
      <c r="G21" s="233" vm="1843">
        <v>0</v>
      </c>
      <c r="H21" s="204" t="s">
        <v>127</v>
      </c>
    </row>
    <row r="22" spans="2:17" ht="37.549999999999997" customHeight="1" x14ac:dyDescent="0.3">
      <c r="B22" s="15" t="s" vm="151">
        <v>169</v>
      </c>
      <c r="C22" s="232" vm="784">
        <v>89637.579999999987</v>
      </c>
      <c r="D22" s="233" vm="924">
        <v>59033.570000000007</v>
      </c>
      <c r="E22" s="287">
        <v>65.85805864013733</v>
      </c>
      <c r="F22" s="271" vm="828">
        <v>133</v>
      </c>
      <c r="G22" s="233" vm="1053">
        <v>85</v>
      </c>
      <c r="H22" s="204">
        <v>63.909774436090231</v>
      </c>
    </row>
    <row r="23" spans="2:17" ht="36" customHeight="1" x14ac:dyDescent="0.3">
      <c r="B23" s="15" t="s" vm="129">
        <v>170</v>
      </c>
      <c r="C23" s="232" vm="979">
        <v>3217535.4800000004</v>
      </c>
      <c r="D23" s="233" vm="1261">
        <v>3312149.94</v>
      </c>
      <c r="E23" s="287">
        <v>102.94058793098372</v>
      </c>
      <c r="F23" s="271" vm="1420">
        <v>555</v>
      </c>
      <c r="G23" s="233" vm="1680">
        <v>607</v>
      </c>
      <c r="H23" s="204">
        <v>109.36936936936937</v>
      </c>
    </row>
    <row r="24" spans="2:17" s="22" customFormat="1" ht="31.85" customHeight="1" x14ac:dyDescent="0.3">
      <c r="B24" s="15" t="s" vm="102">
        <v>171</v>
      </c>
      <c r="C24" s="232" vm="1498">
        <v>7979018.6399999997</v>
      </c>
      <c r="D24" s="233" vm="1552">
        <v>9537700.1400000006</v>
      </c>
      <c r="E24" s="287">
        <v>119.53475195791748</v>
      </c>
      <c r="F24" s="271" vm="1419">
        <v>658</v>
      </c>
      <c r="G24" s="233" vm="1674">
        <v>636</v>
      </c>
      <c r="H24" s="204">
        <v>96.656534954407292</v>
      </c>
    </row>
    <row r="25" spans="2:17" s="64" customFormat="1" ht="3.75" customHeight="1" thickBot="1" x14ac:dyDescent="0.35">
      <c r="C25" s="232"/>
      <c r="D25" s="233"/>
      <c r="E25" s="287"/>
      <c r="F25" s="271"/>
      <c r="G25" s="233"/>
      <c r="H25" s="204"/>
      <c r="I25" s="79"/>
      <c r="J25" s="79"/>
      <c r="K25" s="79"/>
      <c r="L25" s="79"/>
      <c r="M25" s="63"/>
      <c r="N25" s="63"/>
      <c r="O25" s="63"/>
      <c r="P25" s="63"/>
      <c r="Q25" s="63"/>
    </row>
    <row r="26" spans="2:17" ht="37.549999999999997" customHeight="1" thickBot="1" x14ac:dyDescent="0.35">
      <c r="B26" s="120" t="s" vm="49">
        <v>172</v>
      </c>
      <c r="C26" s="234" vm="1101">
        <v>68150256.859999999</v>
      </c>
      <c r="D26" s="235" vm="1043">
        <v>14463799.289999999</v>
      </c>
      <c r="E26" s="243">
        <v>21.223396589264151</v>
      </c>
      <c r="F26" s="235" vm="1684">
        <v>1356</v>
      </c>
      <c r="G26" s="235" vm="953">
        <v>1380</v>
      </c>
      <c r="H26" s="243">
        <v>101.76991150442478</v>
      </c>
    </row>
    <row r="27" spans="2:17" s="64" customFormat="1" ht="3.75" customHeight="1" x14ac:dyDescent="0.3">
      <c r="C27" s="232"/>
      <c r="D27" s="233"/>
      <c r="E27" s="287"/>
      <c r="F27" s="271"/>
      <c r="G27" s="233"/>
      <c r="H27" s="204"/>
      <c r="I27" s="79"/>
      <c r="J27" s="79"/>
      <c r="K27" s="79"/>
      <c r="L27" s="79"/>
      <c r="M27" s="63"/>
      <c r="N27" s="63"/>
      <c r="O27" s="63"/>
      <c r="P27" s="63"/>
      <c r="Q27" s="63"/>
    </row>
    <row r="28" spans="2:17" s="22" customFormat="1" ht="31.85" customHeight="1" x14ac:dyDescent="0.3">
      <c r="B28" s="15" t="s" vm="150">
        <v>173</v>
      </c>
      <c r="C28" s="232" vm="1922">
        <v>62934.59</v>
      </c>
      <c r="D28" s="233" vm="1150">
        <v>114451.55</v>
      </c>
      <c r="E28" s="287">
        <v>181.8579417137698</v>
      </c>
      <c r="F28" s="271" vm="1722">
        <v>0</v>
      </c>
      <c r="G28" s="233" vm="993">
        <v>0</v>
      </c>
      <c r="H28" s="204" t="s">
        <v>127</v>
      </c>
    </row>
    <row r="29" spans="2:17" s="64" customFormat="1" ht="3.75" customHeight="1" thickBot="1" x14ac:dyDescent="0.35">
      <c r="C29" s="232"/>
      <c r="D29" s="233"/>
      <c r="E29" s="287"/>
      <c r="F29" s="271"/>
      <c r="G29" s="233"/>
      <c r="H29" s="204"/>
      <c r="I29" s="79"/>
      <c r="J29" s="79"/>
      <c r="K29" s="79"/>
      <c r="L29" s="79"/>
      <c r="M29" s="63"/>
      <c r="N29" s="63"/>
      <c r="O29" s="63"/>
      <c r="P29" s="63"/>
      <c r="Q29" s="63"/>
    </row>
    <row r="30" spans="2:17" ht="37.549999999999997" customHeight="1" thickBot="1" x14ac:dyDescent="0.35">
      <c r="B30" s="120" t="s" vm="46">
        <v>174</v>
      </c>
      <c r="C30" s="234" vm="1577">
        <v>62934.59</v>
      </c>
      <c r="D30" s="235" vm="873">
        <v>114451.55</v>
      </c>
      <c r="E30" s="243">
        <v>181.8579417137698</v>
      </c>
      <c r="F30" s="235" vm="1020">
        <v>0</v>
      </c>
      <c r="G30" s="235" vm="1398">
        <v>0</v>
      </c>
      <c r="H30" s="243" t="s">
        <v>127</v>
      </c>
    </row>
    <row r="31" spans="2:17" s="64" customFormat="1" ht="3.75" customHeight="1" x14ac:dyDescent="0.3">
      <c r="B31" s="78"/>
      <c r="C31" s="232"/>
      <c r="D31" s="233"/>
      <c r="E31" s="204"/>
      <c r="F31" s="271"/>
      <c r="G31" s="233"/>
      <c r="H31" s="204"/>
      <c r="I31" s="79"/>
      <c r="J31" s="79"/>
      <c r="K31" s="79"/>
      <c r="L31" s="79"/>
      <c r="M31" s="63"/>
      <c r="N31" s="63"/>
      <c r="O31" s="63"/>
      <c r="P31" s="63"/>
      <c r="Q31" s="63"/>
    </row>
    <row r="32" spans="2:17" s="22" customFormat="1" ht="37.549999999999997" customHeight="1" x14ac:dyDescent="0.3">
      <c r="B32" s="15" t="s" vm="101">
        <v>175</v>
      </c>
      <c r="C32" s="232" vm="1919">
        <v>167343.42000000001</v>
      </c>
      <c r="D32" s="233" vm="984">
        <v>114947.53</v>
      </c>
      <c r="E32" s="287">
        <v>68.689602495275878</v>
      </c>
      <c r="F32" s="271" vm="1331">
        <v>48</v>
      </c>
      <c r="G32" s="233" vm="971">
        <v>55</v>
      </c>
      <c r="H32" s="204">
        <v>114.58333333333333</v>
      </c>
    </row>
    <row r="33" spans="2:17" s="22" customFormat="1" ht="37.549999999999997" customHeight="1" x14ac:dyDescent="0.3">
      <c r="B33" s="15" t="s" vm="80">
        <v>176</v>
      </c>
      <c r="C33" s="232" vm="1959">
        <v>8126648.9399999995</v>
      </c>
      <c r="D33" s="233" vm="757">
        <v>5867004.3999999985</v>
      </c>
      <c r="E33" s="287">
        <v>72.194633277711134</v>
      </c>
      <c r="F33" s="271" vm="755">
        <v>1924</v>
      </c>
      <c r="G33" s="233" vm="1301">
        <v>1384</v>
      </c>
      <c r="H33" s="204">
        <v>71.933471933471935</v>
      </c>
    </row>
    <row r="34" spans="2:17" s="22" customFormat="1" ht="37.549999999999997" customHeight="1" x14ac:dyDescent="0.3">
      <c r="B34" s="15" t="s" vm="149">
        <v>177</v>
      </c>
      <c r="C34" s="232" vm="1938">
        <v>5435409.2300000004</v>
      </c>
      <c r="D34" s="233" vm="1743">
        <v>5579607.4499999993</v>
      </c>
      <c r="E34" s="287">
        <v>102.65294136831716</v>
      </c>
      <c r="F34" s="271" vm="1045">
        <v>62299</v>
      </c>
      <c r="G34" s="233" vm="1744">
        <v>58965</v>
      </c>
      <c r="H34" s="204">
        <v>94.64838921973066</v>
      </c>
    </row>
    <row r="35" spans="2:17" s="22" customFormat="1" ht="37.549999999999997" customHeight="1" x14ac:dyDescent="0.3">
      <c r="B35" s="15" t="s" vm="128">
        <v>178</v>
      </c>
      <c r="C35" s="232" vm="1751">
        <v>54129.19</v>
      </c>
      <c r="D35" s="233" vm="1750">
        <v>17896.55</v>
      </c>
      <c r="E35" s="287">
        <v>33.062659906789662</v>
      </c>
      <c r="F35" s="271" vm="1752">
        <v>51</v>
      </c>
      <c r="G35" s="233" vm="1749">
        <v>22</v>
      </c>
      <c r="H35" s="204">
        <v>43.137254901960787</v>
      </c>
    </row>
    <row r="36" spans="2:17" s="64" customFormat="1" ht="3.05" customHeight="1" thickBot="1" x14ac:dyDescent="0.35">
      <c r="B36" s="78"/>
      <c r="C36" s="232"/>
      <c r="D36" s="233"/>
      <c r="E36" s="299"/>
      <c r="F36" s="271"/>
      <c r="G36" s="233"/>
      <c r="H36" s="204"/>
      <c r="I36" s="79"/>
      <c r="J36" s="79"/>
      <c r="K36" s="79"/>
      <c r="L36" s="79"/>
      <c r="M36" s="63"/>
      <c r="N36" s="63"/>
      <c r="O36" s="63"/>
      <c r="P36" s="63"/>
      <c r="Q36" s="63"/>
    </row>
    <row r="37" spans="2:17" ht="37.549999999999997" customHeight="1" thickBot="1" x14ac:dyDescent="0.35">
      <c r="B37" s="120" t="s" vm="41">
        <v>179</v>
      </c>
      <c r="C37" s="234" vm="849">
        <v>13783530.780000001</v>
      </c>
      <c r="D37" s="235" vm="855">
        <v>11579455.93</v>
      </c>
      <c r="E37" s="243">
        <v>84.00935953799204</v>
      </c>
      <c r="F37" s="235" vm="989">
        <v>64322</v>
      </c>
      <c r="G37" s="235" vm="1936">
        <v>60426</v>
      </c>
      <c r="H37" s="243">
        <v>93.942974409999692</v>
      </c>
    </row>
    <row r="38" spans="2:17" s="64" customFormat="1" ht="3.05" customHeight="1" x14ac:dyDescent="0.3">
      <c r="B38" s="78"/>
      <c r="C38" s="16"/>
      <c r="D38" s="16"/>
      <c r="E38" s="46"/>
      <c r="F38" s="42"/>
      <c r="G38" s="233"/>
      <c r="H38" s="204"/>
      <c r="I38" s="79"/>
      <c r="J38" s="79"/>
      <c r="K38" s="79"/>
      <c r="L38" s="79"/>
      <c r="M38" s="63"/>
      <c r="N38" s="63"/>
      <c r="O38" s="63"/>
      <c r="P38" s="63"/>
      <c r="Q38" s="63"/>
    </row>
    <row r="39" spans="2:17" ht="23.3" customHeight="1" x14ac:dyDescent="0.3">
      <c r="B39" s="31" t="s">
        <v>68</v>
      </c>
      <c r="C39" s="242">
        <v>108228419.87</v>
      </c>
      <c r="D39" s="242">
        <v>50802795.679999992</v>
      </c>
      <c r="E39" s="246">
        <v>46.940346852538774</v>
      </c>
      <c r="F39" s="242">
        <v>68338</v>
      </c>
      <c r="G39" s="242">
        <v>64402</v>
      </c>
      <c r="H39" s="283">
        <v>94.240393338991481</v>
      </c>
    </row>
    <row r="40" spans="2:17" x14ac:dyDescent="0.3">
      <c r="B40" s="85"/>
      <c r="C40" s="85"/>
      <c r="D40" s="85"/>
      <c r="E40" s="91"/>
      <c r="F40" s="85"/>
      <c r="G40" s="85"/>
      <c r="H40" s="91"/>
      <c r="I40" s="22"/>
      <c r="J40" s="22"/>
      <c r="K40" s="22"/>
      <c r="L40" s="22"/>
    </row>
    <row r="41" spans="2:17" x14ac:dyDescent="0.3">
      <c r="B41" s="85"/>
      <c r="C41" s="85"/>
      <c r="D41" s="85"/>
      <c r="E41" s="91"/>
      <c r="F41" s="85"/>
      <c r="G41" s="85"/>
      <c r="H41" s="91"/>
      <c r="I41" s="22"/>
      <c r="J41" s="22"/>
      <c r="K41" s="22"/>
      <c r="L41" s="22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39997558519241921"/>
  </sheetPr>
  <dimension ref="A1:U51"/>
  <sheetViews>
    <sheetView showGridLines="0" zoomScaleNormal="100" workbookViewId="0">
      <selection activeCell="L10" sqref="L10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296875" style="8" bestFit="1" customWidth="1"/>
    <col min="4" max="4" width="11.296875" style="8" bestFit="1" customWidth="1"/>
    <col min="5" max="5" width="17.296875" style="8" bestFit="1" customWidth="1"/>
    <col min="6" max="6" width="11.296875" style="8" bestFit="1" customWidth="1"/>
    <col min="7" max="7" width="11.69921875" style="70" bestFit="1" customWidth="1"/>
    <col min="8" max="8" width="13.69921875" style="8" bestFit="1" customWidth="1"/>
    <col min="9" max="9" width="12.296875" style="8" bestFit="1" customWidth="1"/>
    <col min="10" max="10" width="13.69921875" style="8" bestFit="1" customWidth="1"/>
    <col min="11" max="11" width="12.296875" style="8" bestFit="1" customWidth="1"/>
    <col min="12" max="12" width="11.59765625" style="70" customWidth="1"/>
    <col min="13" max="16384" width="9.296875" style="8"/>
  </cols>
  <sheetData>
    <row r="1" spans="1:21" s="22" customFormat="1" ht="58.85" customHeight="1" x14ac:dyDescent="0.3">
      <c r="A1" s="359" t="s">
        <v>157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21" s="22" customFormat="1" ht="13.15" x14ac:dyDescent="0.3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21" ht="21.75" customHeight="1" x14ac:dyDescent="0.35"/>
    <row r="4" spans="1:21" ht="4.8499999999999996" customHeight="1" thickBot="1" x14ac:dyDescent="0.4"/>
    <row r="5" spans="1:21" s="62" customFormat="1" ht="14.95" customHeight="1" x14ac:dyDescent="0.3">
      <c r="B5" s="356" t="s">
        <v>44</v>
      </c>
      <c r="C5" s="354" t="s">
        <v>37</v>
      </c>
      <c r="D5" s="354"/>
      <c r="E5" s="354"/>
      <c r="F5" s="354"/>
      <c r="G5" s="354"/>
      <c r="H5" s="354" t="s">
        <v>41</v>
      </c>
      <c r="I5" s="354"/>
      <c r="J5" s="354"/>
      <c r="K5" s="354"/>
      <c r="L5" s="355"/>
    </row>
    <row r="6" spans="1:21" s="63" customFormat="1" ht="14.95" thickBot="1" x14ac:dyDescent="0.35">
      <c r="B6" s="357"/>
      <c r="C6" s="6" t="s">
        <v>125</v>
      </c>
      <c r="D6" s="6" t="s">
        <v>38</v>
      </c>
      <c r="E6" s="6" t="s">
        <v>126</v>
      </c>
      <c r="F6" s="6" t="s">
        <v>38</v>
      </c>
      <c r="G6" s="28" t="s">
        <v>124</v>
      </c>
      <c r="H6" s="6" t="s">
        <v>125</v>
      </c>
      <c r="I6" s="6" t="s">
        <v>38</v>
      </c>
      <c r="J6" s="6" t="s">
        <v>126</v>
      </c>
      <c r="K6" s="6" t="s">
        <v>38</v>
      </c>
      <c r="L6" s="30" t="s">
        <v>124</v>
      </c>
    </row>
    <row r="7" spans="1:21" s="64" customFormat="1" ht="3.05" customHeight="1" x14ac:dyDescent="0.3">
      <c r="C7" s="63"/>
      <c r="D7" s="63"/>
      <c r="E7" s="63"/>
      <c r="F7" s="63"/>
      <c r="G7" s="65"/>
      <c r="H7" s="63"/>
      <c r="I7" s="63"/>
      <c r="J7" s="63"/>
      <c r="K7" s="63"/>
      <c r="L7" s="65"/>
      <c r="M7" s="63"/>
      <c r="N7" s="63"/>
      <c r="O7" s="63"/>
      <c r="P7" s="63"/>
      <c r="Q7" s="63"/>
    </row>
    <row r="8" spans="1:21" s="22" customFormat="1" ht="37.549999999999997" customHeight="1" x14ac:dyDescent="0.3">
      <c r="B8" s="15" t="s" vm="185">
        <v>130</v>
      </c>
      <c r="C8" s="233" vm="739">
        <v>1350784503.1900001</v>
      </c>
      <c r="D8" s="212">
        <v>85.62</v>
      </c>
      <c r="E8" s="233" vm="1134">
        <v>1437667281.9100001</v>
      </c>
      <c r="F8" s="212">
        <v>85.6</v>
      </c>
      <c r="G8" s="287">
        <v>106.43202365105748</v>
      </c>
      <c r="H8" s="271" vm="1159">
        <v>514700</v>
      </c>
      <c r="I8" s="212">
        <v>66.2</v>
      </c>
      <c r="J8" s="233" vm="1385">
        <v>512957</v>
      </c>
      <c r="K8" s="212">
        <v>65.41</v>
      </c>
      <c r="L8" s="204">
        <v>99.661356129784338</v>
      </c>
    </row>
    <row r="9" spans="1:21" s="22" customFormat="1" ht="37.549999999999997" customHeight="1" x14ac:dyDescent="0.3">
      <c r="B9" s="15" t="s" vm="198">
        <v>131</v>
      </c>
      <c r="C9" s="233" vm="838">
        <v>55460157.11999999</v>
      </c>
      <c r="D9" s="212">
        <v>3.52</v>
      </c>
      <c r="E9" s="233" vm="1336">
        <v>53063940.099999979</v>
      </c>
      <c r="F9" s="212">
        <v>3.16</v>
      </c>
      <c r="G9" s="287">
        <v>95.679390134407157</v>
      </c>
      <c r="H9" s="271" vm="719">
        <v>156010</v>
      </c>
      <c r="I9" s="212">
        <v>20.07</v>
      </c>
      <c r="J9" s="233" vm="906">
        <v>159323</v>
      </c>
      <c r="K9" s="212">
        <v>20.32</v>
      </c>
      <c r="L9" s="204">
        <v>102.12358182167809</v>
      </c>
    </row>
    <row r="10" spans="1:21" s="22" customFormat="1" ht="37.549999999999997" customHeight="1" x14ac:dyDescent="0.3">
      <c r="B10" s="15" t="s" vm="184">
        <v>132</v>
      </c>
      <c r="C10" s="233" vm="1805">
        <v>47590899.950000003</v>
      </c>
      <c r="D10" s="212">
        <v>3.02</v>
      </c>
      <c r="E10" s="233" vm="1807">
        <v>65299756.819999993</v>
      </c>
      <c r="F10" s="212">
        <v>3.89</v>
      </c>
      <c r="G10" s="287">
        <v>137.21059464856785</v>
      </c>
      <c r="H10" s="271" vm="1622">
        <v>28591</v>
      </c>
      <c r="I10" s="212">
        <v>3.68</v>
      </c>
      <c r="J10" s="233" vm="1806">
        <v>31528</v>
      </c>
      <c r="K10" s="212">
        <v>4.0199999999999996</v>
      </c>
      <c r="L10" s="204">
        <v>110.27246336259662</v>
      </c>
    </row>
    <row r="11" spans="1:21" s="22" customFormat="1" ht="37.549999999999997" customHeight="1" x14ac:dyDescent="0.3">
      <c r="B11" s="15" t="s" vm="197">
        <v>133</v>
      </c>
      <c r="C11" s="233" vm="1425">
        <v>45519706.850000001</v>
      </c>
      <c r="D11" s="212">
        <v>2.89</v>
      </c>
      <c r="E11" s="233" vm="1265">
        <v>45056878.040000007</v>
      </c>
      <c r="F11" s="212">
        <v>2.68</v>
      </c>
      <c r="G11" s="287">
        <v>98.983234203319583</v>
      </c>
      <c r="H11" s="271" vm="1553">
        <v>33820</v>
      </c>
      <c r="I11" s="212">
        <v>4.3499999999999996</v>
      </c>
      <c r="J11" s="233" vm="1502">
        <v>34900</v>
      </c>
      <c r="K11" s="212">
        <v>4.45</v>
      </c>
      <c r="L11" s="204">
        <v>103.19337670017741</v>
      </c>
    </row>
    <row r="12" spans="1:21" s="22" customFormat="1" ht="37.549999999999997" customHeight="1" x14ac:dyDescent="0.3">
      <c r="B12" s="15" t="s" vm="183">
        <v>134</v>
      </c>
      <c r="C12" s="233" vm="1532">
        <v>64355915.460000008</v>
      </c>
      <c r="D12" s="212">
        <v>4.08</v>
      </c>
      <c r="E12" s="233" vm="1384">
        <v>65603493.809999995</v>
      </c>
      <c r="F12" s="212">
        <v>3.91</v>
      </c>
      <c r="G12" s="287">
        <v>101.93856048986734</v>
      </c>
      <c r="H12" s="271" vm="1572">
        <v>37877</v>
      </c>
      <c r="I12" s="212">
        <v>4.87</v>
      </c>
      <c r="J12" s="233" vm="1426">
        <v>39601</v>
      </c>
      <c r="K12" s="212">
        <v>5.05</v>
      </c>
      <c r="L12" s="204">
        <v>104.55157483433217</v>
      </c>
    </row>
    <row r="13" spans="1:21" s="22" customFormat="1" ht="37.549999999999997" customHeight="1" x14ac:dyDescent="0.3">
      <c r="B13" s="15" t="s" vm="196">
        <v>135</v>
      </c>
      <c r="C13" s="233" vm="1479">
        <v>13760766.84</v>
      </c>
      <c r="D13" s="212">
        <v>0.87</v>
      </c>
      <c r="E13" s="233" vm="943">
        <v>12720369.530000003</v>
      </c>
      <c r="F13" s="212">
        <v>0.76</v>
      </c>
      <c r="G13" s="287">
        <v>92.439394387704084</v>
      </c>
      <c r="H13" s="271" vm="848">
        <v>6483</v>
      </c>
      <c r="I13" s="212">
        <v>0.83</v>
      </c>
      <c r="J13" s="233" vm="709">
        <v>5872</v>
      </c>
      <c r="K13" s="212">
        <v>0.75</v>
      </c>
      <c r="L13" s="296">
        <v>90.575350917784974</v>
      </c>
    </row>
    <row r="14" spans="1:21" s="64" customFormat="1" ht="3.05" customHeight="1" thickBot="1" x14ac:dyDescent="0.35">
      <c r="B14" s="78"/>
      <c r="C14" s="233"/>
      <c r="D14" s="79"/>
      <c r="E14" s="233"/>
      <c r="F14" s="79"/>
      <c r="G14" s="299"/>
      <c r="H14" s="271"/>
      <c r="I14" s="79"/>
      <c r="J14" s="233"/>
      <c r="K14" s="79"/>
      <c r="L14" s="296"/>
      <c r="M14" s="79"/>
      <c r="N14" s="79"/>
      <c r="O14" s="79"/>
      <c r="P14" s="79"/>
      <c r="Q14" s="63"/>
      <c r="R14" s="63"/>
      <c r="S14" s="63"/>
      <c r="T14" s="63"/>
      <c r="U14" s="63"/>
    </row>
    <row r="15" spans="1:21" ht="37.549999999999997" customHeight="1" thickBot="1" x14ac:dyDescent="0.35">
      <c r="B15" s="120" t="s" vm="199">
        <v>136</v>
      </c>
      <c r="C15" s="235" vm="1732">
        <v>1577471949.4100003</v>
      </c>
      <c r="D15" s="254">
        <v>100</v>
      </c>
      <c r="E15" s="235" vm="1181">
        <v>1679411720.2099996</v>
      </c>
      <c r="F15" s="274">
        <v>100</v>
      </c>
      <c r="G15" s="243">
        <v>106.46222399315096</v>
      </c>
      <c r="H15" s="247" vm="1733">
        <v>777481</v>
      </c>
      <c r="I15" s="274">
        <v>100.00000000000001</v>
      </c>
      <c r="J15" s="235" vm="1734">
        <v>784181</v>
      </c>
      <c r="K15" s="254">
        <v>99.999999999999986</v>
      </c>
      <c r="L15" s="288">
        <v>100.86175739342826</v>
      </c>
    </row>
    <row r="16" spans="1:21" s="64" customFormat="1" ht="3.05" customHeight="1" x14ac:dyDescent="0.3">
      <c r="B16" s="78"/>
      <c r="C16" s="233"/>
      <c r="D16" s="79"/>
      <c r="E16" s="233"/>
      <c r="F16" s="280"/>
      <c r="G16" s="46"/>
      <c r="H16" s="302"/>
      <c r="I16" s="280"/>
      <c r="J16" s="233"/>
      <c r="K16" s="79"/>
      <c r="L16" s="296"/>
      <c r="M16" s="79"/>
      <c r="N16" s="79"/>
      <c r="O16" s="79"/>
      <c r="P16" s="79"/>
      <c r="Q16" s="63"/>
      <c r="R16" s="63"/>
      <c r="S16" s="63"/>
      <c r="T16" s="63"/>
      <c r="U16" s="63"/>
    </row>
    <row r="17" spans="2:21" s="22" customFormat="1" ht="35.450000000000003" customHeight="1" x14ac:dyDescent="0.3">
      <c r="B17" s="15" t="s" vm="195">
        <v>137</v>
      </c>
      <c r="C17" s="233" vm="1109">
        <v>3871308.83</v>
      </c>
      <c r="D17" s="212">
        <v>49.01</v>
      </c>
      <c r="E17" s="233" vm="1640">
        <v>7937023.9000000004</v>
      </c>
      <c r="F17" s="276">
        <v>52.47</v>
      </c>
      <c r="G17" s="287">
        <v>205.02171871418483</v>
      </c>
      <c r="H17" s="302" vm="930">
        <v>1167</v>
      </c>
      <c r="I17" s="276">
        <v>58.11</v>
      </c>
      <c r="J17" s="233" vm="1451">
        <v>1137</v>
      </c>
      <c r="K17" s="212">
        <v>56.4</v>
      </c>
      <c r="L17" s="296">
        <v>97.429305912596391</v>
      </c>
    </row>
    <row r="18" spans="2:21" s="22" customFormat="1" ht="35.450000000000003" customHeight="1" x14ac:dyDescent="0.3">
      <c r="B18" s="15" t="s" vm="181">
        <v>138</v>
      </c>
      <c r="C18" s="233" vm="1898">
        <v>3683995.9099999997</v>
      </c>
      <c r="D18" s="212">
        <v>46.63</v>
      </c>
      <c r="E18" s="233" vm="1899">
        <v>7189491.25</v>
      </c>
      <c r="F18" s="276">
        <v>47.53</v>
      </c>
      <c r="G18" s="287">
        <v>195.1547022754431</v>
      </c>
      <c r="H18" s="302" vm="1897">
        <v>816</v>
      </c>
      <c r="I18" s="276">
        <v>40.64</v>
      </c>
      <c r="J18" s="233" vm="1621">
        <v>855</v>
      </c>
      <c r="K18" s="212">
        <v>42.41</v>
      </c>
      <c r="L18" s="296">
        <v>104.77941176470588</v>
      </c>
    </row>
    <row r="19" spans="2:21" s="22" customFormat="1" ht="35.450000000000003" customHeight="1" x14ac:dyDescent="0.3">
      <c r="B19" s="15" t="s" vm="194">
        <v>139</v>
      </c>
      <c r="C19" s="233" vm="740">
        <v>344360.95</v>
      </c>
      <c r="D19" s="212">
        <v>4.3600000000000003</v>
      </c>
      <c r="E19" s="233" vm="977">
        <v>0</v>
      </c>
      <c r="F19" s="276">
        <v>0</v>
      </c>
      <c r="G19" s="266">
        <v>0</v>
      </c>
      <c r="H19" s="302" vm="911">
        <v>25</v>
      </c>
      <c r="I19" s="276">
        <v>1.25</v>
      </c>
      <c r="J19" s="233" vm="1212">
        <v>24</v>
      </c>
      <c r="K19" s="212">
        <v>1.19</v>
      </c>
      <c r="L19" s="296">
        <v>96</v>
      </c>
    </row>
    <row r="20" spans="2:21" ht="3.75" customHeight="1" thickBot="1" x14ac:dyDescent="0.35">
      <c r="B20" s="32"/>
      <c r="C20" s="233"/>
      <c r="D20" s="16"/>
      <c r="E20" s="233"/>
      <c r="F20" s="298"/>
      <c r="G20" s="266"/>
      <c r="H20" s="302"/>
      <c r="I20" s="298"/>
      <c r="J20" s="233"/>
      <c r="K20" s="34"/>
      <c r="L20" s="296"/>
    </row>
    <row r="21" spans="2:21" ht="37.549999999999997" customHeight="1" thickBot="1" x14ac:dyDescent="0.35">
      <c r="B21" s="120" t="s" vm="182">
        <v>140</v>
      </c>
      <c r="C21" s="235" vm="1294">
        <v>7899665.6899999995</v>
      </c>
      <c r="D21" s="254">
        <v>100</v>
      </c>
      <c r="E21" s="235" vm="1226">
        <v>15126515.149999999</v>
      </c>
      <c r="F21" s="274">
        <v>100</v>
      </c>
      <c r="G21" s="288">
        <v>191.48297843981291</v>
      </c>
      <c r="H21" s="248" vm="1285">
        <v>2008</v>
      </c>
      <c r="I21" s="274">
        <v>100</v>
      </c>
      <c r="J21" s="235" vm="1540">
        <v>2016</v>
      </c>
      <c r="K21" s="254">
        <v>100</v>
      </c>
      <c r="L21" s="288">
        <v>100.39840637450199</v>
      </c>
    </row>
    <row r="22" spans="2:21" ht="4.8499999999999996" customHeight="1" x14ac:dyDescent="0.3">
      <c r="B22" s="37"/>
      <c r="C22" s="233"/>
      <c r="D22" s="38"/>
      <c r="E22" s="233"/>
      <c r="F22" s="275"/>
      <c r="G22" s="266"/>
      <c r="H22" s="289"/>
      <c r="I22" s="275"/>
      <c r="J22" s="233"/>
      <c r="K22" s="38"/>
      <c r="L22" s="296"/>
    </row>
    <row r="23" spans="2:21" ht="38.25" customHeight="1" x14ac:dyDescent="0.3">
      <c r="B23" s="15" t="s" vm="193">
        <v>141</v>
      </c>
      <c r="C23" s="233" vm="1660">
        <v>101930197.09999999</v>
      </c>
      <c r="D23" s="212">
        <v>88.83</v>
      </c>
      <c r="E23" s="233" vm="928">
        <v>96661891.600000009</v>
      </c>
      <c r="F23" s="276">
        <v>87.67</v>
      </c>
      <c r="G23" s="266">
        <v>94.831457556359439</v>
      </c>
      <c r="H23" s="289" vm="1583">
        <v>503568</v>
      </c>
      <c r="I23" s="276">
        <v>83.59</v>
      </c>
      <c r="J23" s="233" vm="1381">
        <v>529745</v>
      </c>
      <c r="K23" s="212">
        <v>81.900000000000006</v>
      </c>
      <c r="L23" s="296">
        <v>105.1983048962603</v>
      </c>
    </row>
    <row r="24" spans="2:21" ht="38.25" customHeight="1" x14ac:dyDescent="0.3">
      <c r="B24" s="15" t="s" vm="179">
        <v>142</v>
      </c>
      <c r="C24" s="233" vm="1780">
        <v>811120.97</v>
      </c>
      <c r="D24" s="212">
        <v>0.71</v>
      </c>
      <c r="E24" s="233" vm="1778">
        <v>898406.58000000007</v>
      </c>
      <c r="F24" s="276">
        <v>0.81</v>
      </c>
      <c r="G24" s="266">
        <v>110.76110878997495</v>
      </c>
      <c r="H24" s="289" vm="1779">
        <v>2152</v>
      </c>
      <c r="I24" s="276">
        <v>0.36</v>
      </c>
      <c r="J24" s="233" vm="1926">
        <v>2560</v>
      </c>
      <c r="K24" s="212">
        <v>0.4</v>
      </c>
      <c r="L24" s="296">
        <v>118.95910780669145</v>
      </c>
    </row>
    <row r="25" spans="2:21" ht="38.25" customHeight="1" x14ac:dyDescent="0.3">
      <c r="B25" s="15" t="s" vm="192">
        <v>143</v>
      </c>
      <c r="C25" s="233" vm="1703">
        <v>11998334.260000002</v>
      </c>
      <c r="D25" s="212">
        <v>10.46</v>
      </c>
      <c r="E25" s="233" vm="915">
        <v>12698205.630000003</v>
      </c>
      <c r="F25" s="276">
        <v>11.52</v>
      </c>
      <c r="G25" s="266">
        <v>105.83307111498993</v>
      </c>
      <c r="H25" s="302" vm="1115">
        <v>96657</v>
      </c>
      <c r="I25" s="276">
        <v>16.05</v>
      </c>
      <c r="J25" s="233" vm="1702">
        <v>114506</v>
      </c>
      <c r="K25" s="212">
        <v>17.7</v>
      </c>
      <c r="L25" s="296">
        <v>118.46632939155985</v>
      </c>
    </row>
    <row r="26" spans="2:21" s="64" customFormat="1" ht="3.75" customHeight="1" thickBot="1" x14ac:dyDescent="0.35">
      <c r="C26" s="233"/>
      <c r="D26" s="16"/>
      <c r="E26" s="233"/>
      <c r="F26" s="276"/>
      <c r="G26" s="266"/>
      <c r="H26" s="302"/>
      <c r="I26" s="276"/>
      <c r="J26" s="233"/>
      <c r="K26" s="17"/>
      <c r="L26" s="296"/>
      <c r="M26" s="79"/>
      <c r="N26" s="79"/>
      <c r="O26" s="79"/>
      <c r="P26" s="79"/>
      <c r="Q26" s="63"/>
      <c r="R26" s="63"/>
      <c r="S26" s="63"/>
      <c r="T26" s="63"/>
      <c r="U26" s="63"/>
    </row>
    <row r="27" spans="2:21" ht="37.549999999999997" customHeight="1" thickBot="1" x14ac:dyDescent="0.35">
      <c r="B27" s="120" t="s" vm="180">
        <v>144</v>
      </c>
      <c r="C27" s="235" vm="1450">
        <v>114739652.33000001</v>
      </c>
      <c r="D27" s="254">
        <v>100</v>
      </c>
      <c r="E27" s="235" vm="1615">
        <v>110258503.81000002</v>
      </c>
      <c r="F27" s="274">
        <v>100</v>
      </c>
      <c r="G27" s="288">
        <v>96.09450749675284</v>
      </c>
      <c r="H27" s="247" vm="1678">
        <v>602377</v>
      </c>
      <c r="I27" s="274">
        <v>100</v>
      </c>
      <c r="J27" s="235" vm="1493">
        <v>646811</v>
      </c>
      <c r="K27" s="254">
        <v>100.00000000000001</v>
      </c>
      <c r="L27" s="288">
        <v>107.37644365571725</v>
      </c>
    </row>
    <row r="28" spans="2:21" s="64" customFormat="1" ht="3.75" customHeight="1" x14ac:dyDescent="0.3">
      <c r="C28" s="233"/>
      <c r="D28" s="16"/>
      <c r="E28" s="233"/>
      <c r="F28" s="276"/>
      <c r="G28" s="266"/>
      <c r="H28" s="302"/>
      <c r="I28" s="276"/>
      <c r="J28" s="233"/>
      <c r="K28" s="17"/>
      <c r="L28" s="296"/>
      <c r="M28" s="79"/>
      <c r="N28" s="79"/>
      <c r="O28" s="79"/>
      <c r="P28" s="79"/>
      <c r="Q28" s="63"/>
      <c r="R28" s="63"/>
      <c r="S28" s="63"/>
      <c r="T28" s="63"/>
      <c r="U28" s="63"/>
    </row>
    <row r="29" spans="2:21" s="22" customFormat="1" ht="31.85" customHeight="1" x14ac:dyDescent="0.3">
      <c r="B29" s="15" t="s" vm="191">
        <v>145</v>
      </c>
      <c r="C29" s="233" vm="1729">
        <v>5420192.0899999989</v>
      </c>
      <c r="D29" s="212">
        <v>100</v>
      </c>
      <c r="E29" s="233" vm="1727">
        <v>4830099.57</v>
      </c>
      <c r="F29" s="276">
        <v>100</v>
      </c>
      <c r="G29" s="266">
        <v>89.113069976086422</v>
      </c>
      <c r="H29" s="302" vm="1728">
        <v>3922</v>
      </c>
      <c r="I29" s="276">
        <v>100</v>
      </c>
      <c r="J29" s="233" vm="1579">
        <v>3714</v>
      </c>
      <c r="K29" s="212">
        <v>100</v>
      </c>
      <c r="L29" s="296">
        <v>94.696583375828652</v>
      </c>
    </row>
    <row r="30" spans="2:21" s="64" customFormat="1" ht="3.75" customHeight="1" thickBot="1" x14ac:dyDescent="0.35">
      <c r="C30" s="233"/>
      <c r="D30" s="16"/>
      <c r="E30" s="233"/>
      <c r="F30" s="276"/>
      <c r="G30" s="266"/>
      <c r="H30" s="302"/>
      <c r="I30" s="276"/>
      <c r="J30" s="233"/>
      <c r="K30" s="17"/>
      <c r="L30" s="296"/>
      <c r="M30" s="79"/>
      <c r="N30" s="79"/>
      <c r="O30" s="79"/>
      <c r="P30" s="79"/>
      <c r="Q30" s="63"/>
      <c r="R30" s="63"/>
      <c r="S30" s="63"/>
      <c r="T30" s="63"/>
      <c r="U30" s="63"/>
    </row>
    <row r="31" spans="2:21" ht="37.549999999999997" customHeight="1" thickBot="1" x14ac:dyDescent="0.35">
      <c r="B31" s="120" t="s" vm="178">
        <v>146</v>
      </c>
      <c r="C31" s="235" vm="810">
        <v>5420192.0899999989</v>
      </c>
      <c r="D31" s="254">
        <v>100</v>
      </c>
      <c r="E31" s="235" vm="1957">
        <v>4830099.57</v>
      </c>
      <c r="F31" s="274">
        <v>100</v>
      </c>
      <c r="G31" s="288">
        <v>89.113069976086422</v>
      </c>
      <c r="H31" s="248" vm="1218">
        <v>3922</v>
      </c>
      <c r="I31" s="274">
        <v>100</v>
      </c>
      <c r="J31" s="235" vm="1394">
        <v>3714</v>
      </c>
      <c r="K31" s="254">
        <v>100</v>
      </c>
      <c r="L31" s="288">
        <v>94.696583375828652</v>
      </c>
    </row>
    <row r="32" spans="2:21" s="64" customFormat="1" ht="3.75" customHeight="1" x14ac:dyDescent="0.3">
      <c r="B32" s="78"/>
      <c r="C32" s="233"/>
      <c r="D32" s="79"/>
      <c r="E32" s="233"/>
      <c r="F32" s="280"/>
      <c r="G32" s="296"/>
      <c r="H32" s="289"/>
      <c r="I32" s="280"/>
      <c r="J32" s="233"/>
      <c r="K32" s="79"/>
      <c r="L32" s="296"/>
      <c r="M32" s="79"/>
      <c r="N32" s="79"/>
      <c r="O32" s="79"/>
      <c r="P32" s="79"/>
      <c r="Q32" s="63"/>
      <c r="R32" s="63"/>
      <c r="S32" s="63"/>
      <c r="T32" s="63"/>
      <c r="U32" s="63"/>
    </row>
    <row r="33" spans="2:21" s="22" customFormat="1" ht="37.549999999999997" customHeight="1" x14ac:dyDescent="0.3">
      <c r="B33" s="15" t="s" vm="190">
        <v>147</v>
      </c>
      <c r="C33" s="233" vm="1633">
        <v>51834090.370000005</v>
      </c>
      <c r="D33" s="212">
        <v>48.3</v>
      </c>
      <c r="E33" s="233" vm="1801">
        <v>44434186.530000001</v>
      </c>
      <c r="F33" s="276">
        <v>57.33</v>
      </c>
      <c r="G33" s="266">
        <v>85.723866692405878</v>
      </c>
      <c r="H33" s="289" vm="1802">
        <v>27202</v>
      </c>
      <c r="I33" s="276">
        <v>55.46</v>
      </c>
      <c r="J33" s="233" vm="1800">
        <v>24010</v>
      </c>
      <c r="K33" s="212">
        <v>55.22</v>
      </c>
      <c r="L33" s="296">
        <v>88.265568708183224</v>
      </c>
    </row>
    <row r="34" spans="2:21" s="22" customFormat="1" ht="37.549999999999997" customHeight="1" x14ac:dyDescent="0.3">
      <c r="B34" s="15" t="s" vm="176">
        <v>148</v>
      </c>
      <c r="C34" s="233" vm="780">
        <v>0</v>
      </c>
      <c r="D34" s="212">
        <v>0</v>
      </c>
      <c r="E34" s="233" vm="1503">
        <v>0</v>
      </c>
      <c r="F34" s="276">
        <v>0</v>
      </c>
      <c r="G34" s="266">
        <v>0</v>
      </c>
      <c r="H34" s="289" vm="1403">
        <v>0</v>
      </c>
      <c r="I34" s="276">
        <v>0</v>
      </c>
      <c r="J34" s="233" vm="1504">
        <v>0</v>
      </c>
      <c r="K34" s="212">
        <v>0</v>
      </c>
      <c r="L34" s="296" t="s">
        <v>127</v>
      </c>
    </row>
    <row r="35" spans="2:21" s="22" customFormat="1" ht="37.549999999999997" customHeight="1" x14ac:dyDescent="0.3">
      <c r="B35" s="15" t="s" vm="189">
        <v>149</v>
      </c>
      <c r="C35" s="233" vm="1943">
        <v>7.2759576141834259E-12</v>
      </c>
      <c r="D35" s="212">
        <v>0</v>
      </c>
      <c r="E35" s="233" vm="1227">
        <v>0</v>
      </c>
      <c r="F35" s="276">
        <v>0</v>
      </c>
      <c r="G35" s="266">
        <v>0</v>
      </c>
      <c r="H35" s="289" vm="1766">
        <v>0</v>
      </c>
      <c r="I35" s="276">
        <v>0</v>
      </c>
      <c r="J35" s="233" vm="1549">
        <v>0</v>
      </c>
      <c r="K35" s="212">
        <v>0</v>
      </c>
      <c r="L35" s="296" t="s">
        <v>127</v>
      </c>
    </row>
    <row r="36" spans="2:21" s="22" customFormat="1" ht="37.549999999999997" customHeight="1" x14ac:dyDescent="0.3">
      <c r="B36" s="15" t="s" vm="175">
        <v>150</v>
      </c>
      <c r="C36" s="233" vm="1422">
        <v>48785808.390000001</v>
      </c>
      <c r="D36" s="212">
        <v>45.46</v>
      </c>
      <c r="E36" s="233" vm="1185">
        <v>24211350.59</v>
      </c>
      <c r="F36" s="276">
        <v>31.23</v>
      </c>
      <c r="G36" s="266">
        <v>49.627855700271198</v>
      </c>
      <c r="H36" s="289" vm="865">
        <v>11042</v>
      </c>
      <c r="I36" s="276">
        <v>22.52</v>
      </c>
      <c r="J36" s="233" vm="1263">
        <v>10182</v>
      </c>
      <c r="K36" s="212">
        <v>23.41</v>
      </c>
      <c r="L36" s="296">
        <v>92.211555877558411</v>
      </c>
    </row>
    <row r="37" spans="2:21" s="22" customFormat="1" ht="37.549999999999997" customHeight="1" x14ac:dyDescent="0.3">
      <c r="B37" s="15" t="s" vm="188">
        <v>151</v>
      </c>
      <c r="C37" s="233" vm="1821">
        <v>6701019.4500000002</v>
      </c>
      <c r="D37" s="212">
        <v>6.24</v>
      </c>
      <c r="E37" s="233" vm="1423">
        <v>8870708.0600000005</v>
      </c>
      <c r="F37" s="276">
        <v>11.44</v>
      </c>
      <c r="G37" s="266">
        <v>132.37848548551818</v>
      </c>
      <c r="H37" s="289" vm="1820">
        <v>10797</v>
      </c>
      <c r="I37" s="276">
        <v>22.02</v>
      </c>
      <c r="J37" s="233" vm="1500">
        <v>9294</v>
      </c>
      <c r="K37" s="212">
        <v>21.37</v>
      </c>
      <c r="L37" s="296">
        <v>86.079466518477361</v>
      </c>
    </row>
    <row r="38" spans="2:21" s="64" customFormat="1" ht="3.05" customHeight="1" thickBot="1" x14ac:dyDescent="0.35">
      <c r="B38" s="78"/>
      <c r="C38" s="233"/>
      <c r="D38" s="79"/>
      <c r="E38" s="233"/>
      <c r="F38" s="276"/>
      <c r="G38" s="267"/>
      <c r="H38" s="289"/>
      <c r="I38" s="276"/>
      <c r="J38" s="233"/>
      <c r="K38" s="17"/>
      <c r="L38" s="296"/>
      <c r="M38" s="79"/>
      <c r="N38" s="79"/>
      <c r="O38" s="79"/>
      <c r="P38" s="79"/>
      <c r="Q38" s="63"/>
      <c r="R38" s="63"/>
      <c r="S38" s="63"/>
      <c r="T38" s="63"/>
      <c r="U38" s="63"/>
    </row>
    <row r="39" spans="2:21" ht="37.549999999999997" customHeight="1" thickBot="1" x14ac:dyDescent="0.35">
      <c r="B39" s="120" t="s" vm="177">
        <v>152</v>
      </c>
      <c r="C39" s="235" vm="882">
        <v>107320918.21000001</v>
      </c>
      <c r="D39" s="254">
        <v>99.999999999999986</v>
      </c>
      <c r="E39" s="235" vm="1373">
        <v>77516245.179999992</v>
      </c>
      <c r="F39" s="274">
        <v>100</v>
      </c>
      <c r="G39" s="288">
        <v>72.228458787801486</v>
      </c>
      <c r="H39" s="248" vm="764">
        <v>49041</v>
      </c>
      <c r="I39" s="274">
        <v>100</v>
      </c>
      <c r="J39" s="235" vm="992">
        <v>43486</v>
      </c>
      <c r="K39" s="254">
        <v>100</v>
      </c>
      <c r="L39" s="288">
        <v>88.672743214861043</v>
      </c>
    </row>
    <row r="40" spans="2:21" s="64" customFormat="1" ht="3.05" customHeight="1" x14ac:dyDescent="0.3">
      <c r="B40" s="78"/>
      <c r="C40" s="233"/>
      <c r="D40" s="79"/>
      <c r="E40" s="233"/>
      <c r="F40" s="280"/>
      <c r="G40" s="267"/>
      <c r="H40" s="289"/>
      <c r="I40" s="280"/>
      <c r="J40" s="233"/>
      <c r="K40" s="79"/>
      <c r="L40" s="296"/>
      <c r="M40" s="79"/>
      <c r="N40" s="79"/>
      <c r="O40" s="79"/>
      <c r="P40" s="79"/>
      <c r="Q40" s="63"/>
      <c r="R40" s="63"/>
      <c r="S40" s="63"/>
      <c r="T40" s="63"/>
      <c r="U40" s="63"/>
    </row>
    <row r="41" spans="2:21" s="22" customFormat="1" ht="31.85" customHeight="1" x14ac:dyDescent="0.3">
      <c r="B41" s="15" t="s" vm="187">
        <v>153</v>
      </c>
      <c r="C41" s="233" vm="1186">
        <v>0</v>
      </c>
      <c r="D41" s="276">
        <v>0</v>
      </c>
      <c r="E41" s="233" vm="1726">
        <v>0</v>
      </c>
      <c r="F41" s="276">
        <v>0</v>
      </c>
      <c r="G41" s="266">
        <v>0</v>
      </c>
      <c r="H41" s="289" vm="1725">
        <v>0</v>
      </c>
      <c r="I41" s="276">
        <v>0</v>
      </c>
      <c r="J41" s="233" vm="931">
        <v>0</v>
      </c>
      <c r="K41" s="276">
        <v>0</v>
      </c>
      <c r="L41" s="296" t="s">
        <v>127</v>
      </c>
    </row>
    <row r="42" spans="2:21" s="64" customFormat="1" ht="3.75" customHeight="1" thickBot="1" x14ac:dyDescent="0.35">
      <c r="C42" s="233"/>
      <c r="D42" s="276"/>
      <c r="E42" s="233"/>
      <c r="F42" s="276"/>
      <c r="G42" s="266"/>
      <c r="H42" s="289"/>
      <c r="I42" s="276"/>
      <c r="J42" s="233"/>
      <c r="K42" s="276"/>
      <c r="L42" s="296"/>
      <c r="M42" s="79"/>
      <c r="N42" s="79"/>
      <c r="O42" s="79"/>
      <c r="P42" s="79"/>
      <c r="Q42" s="63"/>
      <c r="R42" s="63"/>
      <c r="S42" s="63"/>
      <c r="T42" s="63"/>
      <c r="U42" s="63"/>
    </row>
    <row r="43" spans="2:21" ht="37.549999999999997" customHeight="1" thickBot="1" x14ac:dyDescent="0.35">
      <c r="B43" s="120" t="s" vm="174">
        <v>154</v>
      </c>
      <c r="C43" s="235" vm="1514">
        <v>0</v>
      </c>
      <c r="D43" s="274">
        <v>0</v>
      </c>
      <c r="E43" s="235" vm="1652">
        <v>0</v>
      </c>
      <c r="F43" s="274">
        <v>0</v>
      </c>
      <c r="G43" s="330">
        <v>0</v>
      </c>
      <c r="H43" s="248" vm="1533">
        <v>0</v>
      </c>
      <c r="I43" s="274">
        <v>0</v>
      </c>
      <c r="J43" s="235" vm="1648">
        <v>0</v>
      </c>
      <c r="K43" s="274">
        <v>0</v>
      </c>
      <c r="L43" s="288" t="s">
        <v>127</v>
      </c>
    </row>
    <row r="44" spans="2:21" s="64" customFormat="1" ht="3.75" customHeight="1" x14ac:dyDescent="0.3">
      <c r="B44" s="78"/>
      <c r="C44" s="233"/>
      <c r="D44" s="280"/>
      <c r="E44" s="233"/>
      <c r="F44" s="280"/>
      <c r="G44" s="296"/>
      <c r="H44" s="289"/>
      <c r="I44" s="280"/>
      <c r="J44" s="233"/>
      <c r="K44" s="280"/>
      <c r="L44" s="296"/>
      <c r="M44" s="79"/>
      <c r="N44" s="79"/>
      <c r="O44" s="79"/>
      <c r="P44" s="79"/>
      <c r="Q44" s="63"/>
      <c r="R44" s="63"/>
      <c r="S44" s="63"/>
      <c r="T44" s="63"/>
      <c r="U44" s="63"/>
    </row>
    <row r="45" spans="2:21" s="22" customFormat="1" ht="31.85" customHeight="1" x14ac:dyDescent="0.3">
      <c r="B45" s="15" t="s" vm="186">
        <v>155</v>
      </c>
      <c r="C45" s="233" vm="896">
        <v>0</v>
      </c>
      <c r="D45" s="276">
        <v>0</v>
      </c>
      <c r="E45" s="233" vm="1463">
        <v>0</v>
      </c>
      <c r="F45" s="276">
        <v>0</v>
      </c>
      <c r="G45" s="266">
        <v>0</v>
      </c>
      <c r="H45" s="289" vm="982">
        <v>0</v>
      </c>
      <c r="I45" s="276">
        <v>0</v>
      </c>
      <c r="J45" s="233" vm="1360">
        <v>0</v>
      </c>
      <c r="K45" s="276">
        <v>0</v>
      </c>
      <c r="L45" s="296" t="s">
        <v>127</v>
      </c>
    </row>
    <row r="46" spans="2:21" s="64" customFormat="1" ht="3.75" customHeight="1" thickBot="1" x14ac:dyDescent="0.35">
      <c r="C46" s="233"/>
      <c r="D46" s="276"/>
      <c r="E46" s="233"/>
      <c r="F46" s="276"/>
      <c r="G46" s="266"/>
      <c r="H46" s="289"/>
      <c r="I46" s="276"/>
      <c r="J46" s="233"/>
      <c r="K46" s="276"/>
      <c r="L46" s="296"/>
      <c r="M46" s="79"/>
      <c r="N46" s="79"/>
      <c r="O46" s="79"/>
      <c r="P46" s="79"/>
      <c r="Q46" s="63"/>
      <c r="R46" s="63"/>
      <c r="S46" s="63"/>
      <c r="T46" s="63"/>
      <c r="U46" s="63"/>
    </row>
    <row r="47" spans="2:21" ht="37.549999999999997" customHeight="1" thickBot="1" x14ac:dyDescent="0.35">
      <c r="B47" s="120" t="s" vm="173">
        <v>156</v>
      </c>
      <c r="C47" s="235" vm="898">
        <v>0</v>
      </c>
      <c r="D47" s="274">
        <v>0</v>
      </c>
      <c r="E47" s="235" vm="1688">
        <v>0</v>
      </c>
      <c r="F47" s="274">
        <v>0</v>
      </c>
      <c r="G47" s="288">
        <v>0</v>
      </c>
      <c r="H47" s="248" vm="721">
        <v>0</v>
      </c>
      <c r="I47" s="274">
        <v>0</v>
      </c>
      <c r="J47" s="235" vm="697">
        <v>0</v>
      </c>
      <c r="K47" s="274">
        <v>0</v>
      </c>
      <c r="L47" s="288" t="s">
        <v>127</v>
      </c>
    </row>
    <row r="48" spans="2:21" s="64" customFormat="1" ht="3.75" customHeight="1" x14ac:dyDescent="0.3">
      <c r="B48" s="78"/>
      <c r="C48" s="16"/>
      <c r="D48" s="79"/>
      <c r="E48" s="16"/>
      <c r="F48" s="79"/>
      <c r="G48" s="296"/>
      <c r="H48" s="42"/>
      <c r="I48" s="79"/>
      <c r="J48" s="18"/>
      <c r="K48" s="79"/>
      <c r="L48" s="296"/>
      <c r="M48" s="79"/>
      <c r="N48" s="79"/>
      <c r="O48" s="79"/>
      <c r="P48" s="79"/>
      <c r="Q48" s="63"/>
      <c r="R48" s="63"/>
      <c r="S48" s="63"/>
      <c r="T48" s="63"/>
      <c r="U48" s="63"/>
    </row>
    <row r="49" spans="2:16" ht="23.3" customHeight="1" x14ac:dyDescent="0.3">
      <c r="B49" s="31" t="s">
        <v>69</v>
      </c>
      <c r="C49" s="242">
        <v>1812852377.7300003</v>
      </c>
      <c r="D49" s="20"/>
      <c r="E49" s="242">
        <v>1887143083.9199996</v>
      </c>
      <c r="F49" s="20"/>
      <c r="G49" s="297">
        <v>104.09800086883104</v>
      </c>
      <c r="H49" s="236">
        <v>1434829</v>
      </c>
      <c r="I49" s="20"/>
      <c r="J49" s="242">
        <v>1480208</v>
      </c>
      <c r="K49" s="20"/>
      <c r="L49" s="297">
        <v>103.1626765280044</v>
      </c>
    </row>
    <row r="50" spans="2:16" x14ac:dyDescent="0.3">
      <c r="B50" s="85"/>
      <c r="C50" s="85"/>
      <c r="D50" s="85"/>
      <c r="E50" s="85"/>
      <c r="F50" s="85"/>
      <c r="G50" s="91"/>
      <c r="H50" s="85"/>
      <c r="I50" s="85"/>
      <c r="J50" s="85"/>
      <c r="K50" s="85"/>
      <c r="L50" s="91"/>
      <c r="M50" s="22"/>
      <c r="N50" s="22"/>
      <c r="O50" s="22"/>
      <c r="P50" s="22"/>
    </row>
    <row r="51" spans="2:16" x14ac:dyDescent="0.3">
      <c r="B51" s="85"/>
      <c r="C51" s="85"/>
      <c r="D51" s="85"/>
      <c r="E51" s="85"/>
      <c r="F51" s="85"/>
      <c r="G51" s="91"/>
      <c r="H51" s="85"/>
      <c r="I51" s="85"/>
      <c r="J51" s="85"/>
      <c r="K51" s="85"/>
      <c r="L51" s="91"/>
      <c r="M51" s="22"/>
      <c r="N51" s="22"/>
      <c r="O51" s="22"/>
      <c r="P51" s="22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28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39997558519241921"/>
  </sheetPr>
  <dimension ref="A1:Q51"/>
  <sheetViews>
    <sheetView showGridLines="0" zoomScaleNormal="100" workbookViewId="0">
      <selection activeCell="B3" sqref="B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4" width="17.3984375" style="8" bestFit="1" customWidth="1"/>
    <col min="5" max="5" width="11.69921875" style="70" bestFit="1" customWidth="1"/>
    <col min="6" max="7" width="13.69921875" style="8" bestFit="1" customWidth="1"/>
    <col min="8" max="8" width="11.59765625" style="70" customWidth="1"/>
    <col min="9" max="16384" width="9.296875" style="8"/>
  </cols>
  <sheetData>
    <row r="1" spans="1:17" s="22" customFormat="1" ht="58.85" customHeight="1" x14ac:dyDescent="0.3">
      <c r="A1" s="359" t="s">
        <v>129</v>
      </c>
      <c r="B1" s="359"/>
      <c r="C1" s="359"/>
      <c r="D1" s="359"/>
      <c r="E1" s="359"/>
      <c r="F1" s="359"/>
      <c r="G1" s="359"/>
      <c r="H1" s="359"/>
    </row>
    <row r="2" spans="1:17" s="22" customFormat="1" ht="13.85" x14ac:dyDescent="0.3">
      <c r="A2" s="337"/>
      <c r="B2" s="337"/>
      <c r="C2" s="337"/>
      <c r="D2" s="337"/>
      <c r="E2" s="337"/>
      <c r="F2" s="337"/>
      <c r="G2" s="337"/>
      <c r="H2" s="337"/>
    </row>
    <row r="3" spans="1:17" ht="21.75" customHeight="1" x14ac:dyDescent="0.3"/>
    <row r="4" spans="1:17" ht="4.8499999999999996" customHeight="1" thickBot="1" x14ac:dyDescent="0.35"/>
    <row r="5" spans="1:17" s="62" customFormat="1" ht="14.95" customHeight="1" x14ac:dyDescent="0.3">
      <c r="B5" s="356" t="s">
        <v>44</v>
      </c>
      <c r="C5" s="354" t="s">
        <v>37</v>
      </c>
      <c r="D5" s="354"/>
      <c r="E5" s="354"/>
      <c r="F5" s="354" t="s">
        <v>41</v>
      </c>
      <c r="G5" s="354"/>
      <c r="H5" s="355"/>
    </row>
    <row r="6" spans="1:17" s="63" customFormat="1" ht="14.95" thickBot="1" x14ac:dyDescent="0.35">
      <c r="B6" s="357"/>
      <c r="C6" s="6" t="s">
        <v>125</v>
      </c>
      <c r="D6" s="6" t="s">
        <v>126</v>
      </c>
      <c r="E6" s="28" t="s">
        <v>124</v>
      </c>
      <c r="F6" s="6" t="s">
        <v>125</v>
      </c>
      <c r="G6" s="6" t="s">
        <v>126</v>
      </c>
      <c r="H6" s="30" t="s">
        <v>124</v>
      </c>
    </row>
    <row r="7" spans="1:17" s="64" customFormat="1" ht="3.05" customHeight="1" x14ac:dyDescent="0.3">
      <c r="C7" s="63"/>
      <c r="D7" s="63"/>
      <c r="E7" s="65"/>
      <c r="F7" s="63"/>
      <c r="G7" s="63"/>
      <c r="H7" s="65"/>
      <c r="I7" s="63"/>
      <c r="J7" s="63"/>
      <c r="K7" s="63"/>
      <c r="L7" s="63"/>
      <c r="M7" s="63"/>
    </row>
    <row r="8" spans="1:17" s="22" customFormat="1" ht="37.549999999999997" customHeight="1" x14ac:dyDescent="0.3">
      <c r="B8" s="15" t="s" vm="185">
        <v>130</v>
      </c>
      <c r="C8" s="233" vm="1613">
        <v>918028129.1500001</v>
      </c>
      <c r="D8" s="233" vm="867">
        <v>889156634.17999995</v>
      </c>
      <c r="E8" s="287">
        <v>96.855053341695296</v>
      </c>
      <c r="F8" s="271" vm="1376">
        <v>34785</v>
      </c>
      <c r="G8" s="232" vm="935">
        <v>31743</v>
      </c>
      <c r="H8" s="204">
        <v>91.254851228978012</v>
      </c>
    </row>
    <row r="9" spans="1:17" s="22" customFormat="1" ht="37.549999999999997" customHeight="1" x14ac:dyDescent="0.3">
      <c r="B9" s="15" t="s" vm="198">
        <v>131</v>
      </c>
      <c r="C9" s="233" vm="1416">
        <v>12247208.280000001</v>
      </c>
      <c r="D9" s="233" vm="1084">
        <v>7384081.4800000004</v>
      </c>
      <c r="E9" s="287">
        <v>60.291956429436986</v>
      </c>
      <c r="F9" s="271" vm="1258">
        <v>805</v>
      </c>
      <c r="G9" s="232" vm="1210">
        <v>675</v>
      </c>
      <c r="H9" s="204">
        <v>83.850931677018636</v>
      </c>
    </row>
    <row r="10" spans="1:17" s="22" customFormat="1" ht="37.549999999999997" customHeight="1" x14ac:dyDescent="0.3">
      <c r="B10" s="15" t="s" vm="184">
        <v>132</v>
      </c>
      <c r="C10" s="233" vm="1866">
        <v>17493609.450000003</v>
      </c>
      <c r="D10" s="233" vm="1571">
        <v>18660559.780000001</v>
      </c>
      <c r="E10" s="287">
        <v>106.67072357671732</v>
      </c>
      <c r="F10" s="271" vm="1867">
        <v>950</v>
      </c>
      <c r="G10" s="232" vm="1868">
        <v>1226</v>
      </c>
      <c r="H10" s="204">
        <v>129.05263157894737</v>
      </c>
    </row>
    <row r="11" spans="1:17" s="22" customFormat="1" ht="37.549999999999997" customHeight="1" x14ac:dyDescent="0.3">
      <c r="B11" s="15" t="s" vm="197">
        <v>133</v>
      </c>
      <c r="C11" s="233" vm="1933">
        <v>20030717.100000001</v>
      </c>
      <c r="D11" s="233" vm="1055">
        <v>18649381.200000003</v>
      </c>
      <c r="E11" s="287">
        <v>93.103911891402035</v>
      </c>
      <c r="F11" s="271" vm="1708">
        <v>1620</v>
      </c>
      <c r="G11" s="232" vm="1582">
        <v>1494</v>
      </c>
      <c r="H11" s="204">
        <v>92.222222222222229</v>
      </c>
    </row>
    <row r="12" spans="1:17" s="22" customFormat="1" ht="37.549999999999997" customHeight="1" x14ac:dyDescent="0.3">
      <c r="B12" s="15" t="s" vm="183">
        <v>134</v>
      </c>
      <c r="C12" s="233" vm="1741">
        <v>24180139.740000002</v>
      </c>
      <c r="D12" s="233" vm="1740">
        <v>24814216.939999998</v>
      </c>
      <c r="E12" s="287">
        <v>102.62230577167044</v>
      </c>
      <c r="F12" s="271" vm="1742">
        <v>1438</v>
      </c>
      <c r="G12" s="232" vm="1525">
        <v>1230</v>
      </c>
      <c r="H12" s="204">
        <v>85.535465924895689</v>
      </c>
    </row>
    <row r="13" spans="1:17" s="22" customFormat="1" ht="37.549999999999997" customHeight="1" x14ac:dyDescent="0.3">
      <c r="B13" s="15" t="s" vm="196">
        <v>135</v>
      </c>
      <c r="C13" s="233" vm="1072">
        <v>16964255.77</v>
      </c>
      <c r="D13" s="233" vm="1412">
        <v>12055819.829999998</v>
      </c>
      <c r="E13" s="287">
        <v>71.066010754918011</v>
      </c>
      <c r="F13" s="271" vm="1364">
        <v>374</v>
      </c>
      <c r="G13" s="232" vm="1314">
        <v>266</v>
      </c>
      <c r="H13" s="204">
        <v>71.122994652406419</v>
      </c>
    </row>
    <row r="14" spans="1:17" s="64" customFormat="1" ht="3.05" customHeight="1" thickBot="1" x14ac:dyDescent="0.35">
      <c r="B14" s="78"/>
      <c r="C14" s="233"/>
      <c r="D14" s="233"/>
      <c r="E14" s="299"/>
      <c r="F14" s="271"/>
      <c r="G14" s="232"/>
      <c r="H14" s="204"/>
      <c r="I14" s="79"/>
      <c r="J14" s="79"/>
      <c r="K14" s="79"/>
      <c r="L14" s="79"/>
      <c r="M14" s="63"/>
      <c r="N14" s="63"/>
      <c r="O14" s="63"/>
      <c r="P14" s="63"/>
      <c r="Q14" s="63"/>
    </row>
    <row r="15" spans="1:17" ht="37.549999999999997" customHeight="1" thickBot="1" x14ac:dyDescent="0.35">
      <c r="B15" s="120" t="s" vm="199">
        <v>136</v>
      </c>
      <c r="C15" s="235" vm="1731">
        <v>1008944059.4899998</v>
      </c>
      <c r="D15" s="235" vm="1092">
        <v>970720693.40999973</v>
      </c>
      <c r="E15" s="288">
        <v>96.211547536211157</v>
      </c>
      <c r="F15" s="235" vm="1119">
        <v>39972</v>
      </c>
      <c r="G15" s="234" vm="1730">
        <v>36634</v>
      </c>
      <c r="H15" s="243">
        <v>91.649154408085664</v>
      </c>
    </row>
    <row r="16" spans="1:17" s="64" customFormat="1" ht="3.05" customHeight="1" x14ac:dyDescent="0.3">
      <c r="B16" s="78"/>
      <c r="C16" s="233"/>
      <c r="D16" s="233"/>
      <c r="E16" s="267"/>
      <c r="F16" s="271"/>
      <c r="G16" s="232"/>
      <c r="H16" s="204"/>
      <c r="I16" s="79"/>
      <c r="J16" s="79"/>
      <c r="K16" s="79"/>
      <c r="L16" s="79"/>
      <c r="M16" s="63"/>
      <c r="N16" s="63"/>
      <c r="O16" s="63"/>
      <c r="P16" s="63"/>
      <c r="Q16" s="63"/>
    </row>
    <row r="17" spans="2:17" s="22" customFormat="1" ht="35.450000000000003" customHeight="1" x14ac:dyDescent="0.3">
      <c r="B17" s="15" t="s" vm="195">
        <v>137</v>
      </c>
      <c r="C17" s="233" vm="1814">
        <v>4022746.9499999997</v>
      </c>
      <c r="D17" s="233" vm="1815">
        <v>4152005.6</v>
      </c>
      <c r="E17" s="266">
        <v>103.21319366111258</v>
      </c>
      <c r="F17" s="271" vm="1813">
        <v>111</v>
      </c>
      <c r="G17" s="232" vm="1566">
        <v>131</v>
      </c>
      <c r="H17" s="204">
        <v>118.01801801801801</v>
      </c>
    </row>
    <row r="18" spans="2:17" s="22" customFormat="1" ht="35.450000000000003" customHeight="1" x14ac:dyDescent="0.3">
      <c r="B18" s="15" t="s" vm="181">
        <v>138</v>
      </c>
      <c r="C18" s="233" vm="783">
        <v>2454653.09</v>
      </c>
      <c r="D18" s="233" vm="1935">
        <v>3463967.97</v>
      </c>
      <c r="E18" s="266">
        <v>141.11843274765968</v>
      </c>
      <c r="F18" s="271" vm="820">
        <v>339</v>
      </c>
      <c r="G18" s="232" vm="1707">
        <v>497</v>
      </c>
      <c r="H18" s="204">
        <v>146.60766961651916</v>
      </c>
    </row>
    <row r="19" spans="2:17" s="22" customFormat="1" ht="35.450000000000003" customHeight="1" x14ac:dyDescent="0.3">
      <c r="B19" s="15" t="s" vm="194">
        <v>139</v>
      </c>
      <c r="C19" s="233" vm="1163">
        <v>71265.81</v>
      </c>
      <c r="D19" s="233" vm="1645">
        <v>69037.59</v>
      </c>
      <c r="E19" s="266">
        <v>96.873367467513532</v>
      </c>
      <c r="F19" s="271" vm="1281">
        <v>0</v>
      </c>
      <c r="G19" s="232" vm="1248">
        <v>0</v>
      </c>
      <c r="H19" s="204" t="s">
        <v>127</v>
      </c>
    </row>
    <row r="20" spans="2:17" ht="3.75" customHeight="1" thickBot="1" x14ac:dyDescent="0.35">
      <c r="B20" s="32"/>
      <c r="C20" s="233"/>
      <c r="D20" s="233"/>
      <c r="E20" s="266"/>
      <c r="F20" s="271"/>
      <c r="G20" s="232"/>
      <c r="H20" s="204"/>
    </row>
    <row r="21" spans="2:17" ht="37.549999999999997" customHeight="1" thickBot="1" x14ac:dyDescent="0.35">
      <c r="B21" s="120" t="s" vm="182">
        <v>140</v>
      </c>
      <c r="C21" s="235" vm="1487">
        <v>6548665.8500000006</v>
      </c>
      <c r="D21" s="235" vm="1764">
        <v>7685011.1599999992</v>
      </c>
      <c r="E21" s="288">
        <v>117.35231780073185</v>
      </c>
      <c r="F21" s="235" vm="1763">
        <v>450</v>
      </c>
      <c r="G21" s="234" vm="1765">
        <v>628</v>
      </c>
      <c r="H21" s="243">
        <v>139.55555555555557</v>
      </c>
    </row>
    <row r="22" spans="2:17" ht="4.8499999999999996" customHeight="1" x14ac:dyDescent="0.3">
      <c r="B22" s="37"/>
      <c r="C22" s="233"/>
      <c r="D22" s="233"/>
      <c r="E22" s="266"/>
      <c r="F22" s="271"/>
      <c r="G22" s="232"/>
      <c r="H22" s="204"/>
    </row>
    <row r="23" spans="2:17" ht="38.25" customHeight="1" x14ac:dyDescent="0.3">
      <c r="B23" s="15" t="s" vm="193">
        <v>141</v>
      </c>
      <c r="C23" s="233" vm="1827">
        <v>17793459.260000002</v>
      </c>
      <c r="D23" s="233" vm="1608">
        <v>16286938.850000001</v>
      </c>
      <c r="E23" s="266">
        <v>91.533291036967256</v>
      </c>
      <c r="F23" s="271" vm="1826">
        <v>2382</v>
      </c>
      <c r="G23" s="232" vm="1556">
        <v>2251</v>
      </c>
      <c r="H23" s="204">
        <v>94.500419815281276</v>
      </c>
    </row>
    <row r="24" spans="2:17" ht="38.25" customHeight="1" x14ac:dyDescent="0.3">
      <c r="B24" s="15" t="s" vm="179">
        <v>142</v>
      </c>
      <c r="C24" s="233" vm="1669">
        <v>73341.17</v>
      </c>
      <c r="D24" s="233" vm="913">
        <v>83805.350000000006</v>
      </c>
      <c r="E24" s="266">
        <v>114.26781165340014</v>
      </c>
      <c r="F24" s="271" vm="907">
        <v>21</v>
      </c>
      <c r="G24" s="232" vm="778">
        <v>32</v>
      </c>
      <c r="H24" s="204">
        <v>152.38095238095238</v>
      </c>
    </row>
    <row r="25" spans="2:17" ht="38.25" customHeight="1" x14ac:dyDescent="0.3">
      <c r="B25" s="15" t="s" vm="192">
        <v>143</v>
      </c>
      <c r="C25" s="233" vm="1083">
        <v>1998507.4800000002</v>
      </c>
      <c r="D25" s="233" vm="1368">
        <v>1757816.2499999998</v>
      </c>
      <c r="E25" s="266">
        <v>87.956450881034471</v>
      </c>
      <c r="F25" s="271" vm="1637">
        <v>677</v>
      </c>
      <c r="G25" s="232" vm="1129">
        <v>734</v>
      </c>
      <c r="H25" s="204">
        <v>108.41949778434268</v>
      </c>
    </row>
    <row r="26" spans="2:17" s="64" customFormat="1" ht="3.75" customHeight="1" thickBot="1" x14ac:dyDescent="0.35">
      <c r="C26" s="233"/>
      <c r="D26" s="233"/>
      <c r="E26" s="266"/>
      <c r="F26" s="271"/>
      <c r="G26" s="232"/>
      <c r="H26" s="204"/>
      <c r="I26" s="79"/>
      <c r="J26" s="79"/>
      <c r="K26" s="79"/>
      <c r="L26" s="79"/>
      <c r="M26" s="63"/>
      <c r="N26" s="63"/>
      <c r="O26" s="63"/>
      <c r="P26" s="63"/>
      <c r="Q26" s="63"/>
    </row>
    <row r="27" spans="2:17" ht="37.549999999999997" customHeight="1" thickBot="1" x14ac:dyDescent="0.35">
      <c r="B27" s="120" t="s" vm="180">
        <v>144</v>
      </c>
      <c r="C27" s="235" vm="963">
        <v>19865307.91</v>
      </c>
      <c r="D27" s="235" vm="1205">
        <v>18128560.449999999</v>
      </c>
      <c r="E27" s="288">
        <v>91.257384643276836</v>
      </c>
      <c r="F27" s="235" vm="901">
        <v>3080</v>
      </c>
      <c r="G27" s="234" vm="866">
        <v>3017</v>
      </c>
      <c r="H27" s="243">
        <v>97.954545454545453</v>
      </c>
    </row>
    <row r="28" spans="2:17" s="64" customFormat="1" ht="3.75" customHeight="1" x14ac:dyDescent="0.3">
      <c r="C28" s="233"/>
      <c r="D28" s="233"/>
      <c r="E28" s="266"/>
      <c r="F28" s="271"/>
      <c r="G28" s="232"/>
      <c r="H28" s="204"/>
      <c r="I28" s="79"/>
      <c r="J28" s="79"/>
      <c r="K28" s="79"/>
      <c r="L28" s="79"/>
      <c r="M28" s="63"/>
      <c r="N28" s="63"/>
      <c r="O28" s="63"/>
      <c r="P28" s="63"/>
      <c r="Q28" s="63"/>
    </row>
    <row r="29" spans="2:17" s="22" customFormat="1" ht="31.85" customHeight="1" x14ac:dyDescent="0.3">
      <c r="B29" s="15" t="s" vm="191">
        <v>145</v>
      </c>
      <c r="C29" s="233" vm="968">
        <v>4307501.4300000006</v>
      </c>
      <c r="D29" s="233" vm="1351">
        <v>4930925.83</v>
      </c>
      <c r="E29" s="266">
        <v>114.47299345411939</v>
      </c>
      <c r="F29" s="271" vm="1931">
        <v>196</v>
      </c>
      <c r="G29" s="232" vm="842">
        <v>209</v>
      </c>
      <c r="H29" s="204">
        <v>106.63265306122449</v>
      </c>
    </row>
    <row r="30" spans="2:17" s="64" customFormat="1" ht="3.75" customHeight="1" thickBot="1" x14ac:dyDescent="0.35">
      <c r="C30" s="233"/>
      <c r="D30" s="233"/>
      <c r="E30" s="266"/>
      <c r="F30" s="271"/>
      <c r="G30" s="232"/>
      <c r="H30" s="204"/>
      <c r="I30" s="79"/>
      <c r="J30" s="79"/>
      <c r="K30" s="79"/>
      <c r="L30" s="79"/>
      <c r="M30" s="63"/>
      <c r="N30" s="63"/>
      <c r="O30" s="63"/>
      <c r="P30" s="63"/>
      <c r="Q30" s="63"/>
    </row>
    <row r="31" spans="2:17" ht="37.549999999999997" customHeight="1" thickBot="1" x14ac:dyDescent="0.35">
      <c r="B31" s="120" t="s" vm="178">
        <v>146</v>
      </c>
      <c r="C31" s="235" vm="1950">
        <v>4307501.4300000006</v>
      </c>
      <c r="D31" s="235" vm="1090">
        <v>4930925.83</v>
      </c>
      <c r="E31" s="288">
        <v>114.47299345411939</v>
      </c>
      <c r="F31" s="235" vm="754">
        <v>196</v>
      </c>
      <c r="G31" s="234" vm="1382">
        <v>209</v>
      </c>
      <c r="H31" s="243">
        <v>106.63265306122449</v>
      </c>
    </row>
    <row r="32" spans="2:17" s="64" customFormat="1" ht="3.75" customHeight="1" x14ac:dyDescent="0.3">
      <c r="B32" s="78"/>
      <c r="C32" s="233"/>
      <c r="D32" s="233"/>
      <c r="E32" s="296"/>
      <c r="F32" s="271"/>
      <c r="G32" s="232"/>
      <c r="H32" s="204"/>
      <c r="I32" s="79"/>
      <c r="J32" s="79"/>
      <c r="K32" s="79"/>
      <c r="L32" s="79"/>
      <c r="M32" s="63"/>
      <c r="N32" s="63"/>
      <c r="O32" s="63"/>
      <c r="P32" s="63"/>
      <c r="Q32" s="63"/>
    </row>
    <row r="33" spans="2:17" s="22" customFormat="1" ht="37.549999999999997" customHeight="1" x14ac:dyDescent="0.3">
      <c r="B33" s="15" t="s" vm="190">
        <v>147</v>
      </c>
      <c r="C33" s="233" vm="815">
        <v>23010201.799999997</v>
      </c>
      <c r="D33" s="233" vm="720">
        <v>25435845.120000001</v>
      </c>
      <c r="E33" s="266">
        <v>110.54159950913601</v>
      </c>
      <c r="F33" s="271" vm="1620">
        <v>2392</v>
      </c>
      <c r="G33" s="232" vm="1644">
        <v>2442</v>
      </c>
      <c r="H33" s="204">
        <v>102.09030100334448</v>
      </c>
    </row>
    <row r="34" spans="2:17" s="22" customFormat="1" ht="37.549999999999997" customHeight="1" x14ac:dyDescent="0.3">
      <c r="B34" s="15" t="s" vm="176">
        <v>148</v>
      </c>
      <c r="C34" s="233" vm="1599">
        <v>0</v>
      </c>
      <c r="D34" s="233" vm="841">
        <v>0</v>
      </c>
      <c r="E34" s="266" t="s">
        <v>127</v>
      </c>
      <c r="F34" s="271" vm="1682">
        <v>0</v>
      </c>
      <c r="G34" s="232" vm="818">
        <v>0</v>
      </c>
      <c r="H34" s="204" t="s">
        <v>127</v>
      </c>
    </row>
    <row r="35" spans="2:17" s="22" customFormat="1" ht="37.549999999999997" customHeight="1" x14ac:dyDescent="0.3">
      <c r="B35" s="15" t="s" vm="189">
        <v>149</v>
      </c>
      <c r="C35" s="233" vm="1598">
        <v>0</v>
      </c>
      <c r="D35" s="233" vm="1408">
        <v>0</v>
      </c>
      <c r="E35" s="266" t="s">
        <v>127</v>
      </c>
      <c r="F35" s="271" vm="1367">
        <v>0</v>
      </c>
      <c r="G35" s="232" vm="1250">
        <v>0</v>
      </c>
      <c r="H35" s="204" t="s">
        <v>127</v>
      </c>
    </row>
    <row r="36" spans="2:17" s="22" customFormat="1" ht="37.549999999999997" customHeight="1" x14ac:dyDescent="0.3">
      <c r="B36" s="15" t="s" vm="175">
        <v>150</v>
      </c>
      <c r="C36" s="233" vm="1580">
        <v>16985664.91</v>
      </c>
      <c r="D36" s="233" vm="1198">
        <v>26012015.780000001</v>
      </c>
      <c r="E36" s="266">
        <v>153.14099222978254</v>
      </c>
      <c r="F36" s="271" vm="1120">
        <v>452</v>
      </c>
      <c r="G36" s="232" vm="785">
        <v>793</v>
      </c>
      <c r="H36" s="204">
        <v>175.44247787610618</v>
      </c>
    </row>
    <row r="37" spans="2:17" s="22" customFormat="1" ht="37.549999999999997" customHeight="1" x14ac:dyDescent="0.3">
      <c r="B37" s="15" t="s" vm="188">
        <v>151</v>
      </c>
      <c r="C37" s="233" vm="1028">
        <v>28250098.420000002</v>
      </c>
      <c r="D37" s="233" vm="771">
        <v>29888520.460000005</v>
      </c>
      <c r="E37" s="266">
        <v>105.79970382984601</v>
      </c>
      <c r="F37" s="271" vm="1371">
        <v>1903</v>
      </c>
      <c r="G37" s="232" vm="1176">
        <v>1969</v>
      </c>
      <c r="H37" s="204">
        <v>103.46820809248555</v>
      </c>
    </row>
    <row r="38" spans="2:17" s="64" customFormat="1" ht="3.05" customHeight="1" thickBot="1" x14ac:dyDescent="0.35">
      <c r="B38" s="78"/>
      <c r="C38" s="233"/>
      <c r="D38" s="233"/>
      <c r="E38" s="267"/>
      <c r="F38" s="271"/>
      <c r="G38" s="232"/>
      <c r="H38" s="204"/>
      <c r="I38" s="79"/>
      <c r="J38" s="79"/>
      <c r="K38" s="79"/>
      <c r="L38" s="79"/>
      <c r="M38" s="63"/>
      <c r="N38" s="63"/>
      <c r="O38" s="63"/>
      <c r="P38" s="63"/>
      <c r="Q38" s="63"/>
    </row>
    <row r="39" spans="2:17" ht="37.549999999999997" customHeight="1" thickBot="1" x14ac:dyDescent="0.35">
      <c r="B39" s="120" t="s" vm="177">
        <v>152</v>
      </c>
      <c r="C39" s="235" vm="1914">
        <v>68245965.129999995</v>
      </c>
      <c r="D39" s="235" vm="1913">
        <v>81336381.359999999</v>
      </c>
      <c r="E39" s="288">
        <v>119.18123101499761</v>
      </c>
      <c r="F39" s="235" vm="1912">
        <v>4747</v>
      </c>
      <c r="G39" s="234" vm="1915">
        <v>5204</v>
      </c>
      <c r="H39" s="243">
        <v>109.62713292605856</v>
      </c>
    </row>
    <row r="40" spans="2:17" s="64" customFormat="1" ht="3.05" customHeight="1" x14ac:dyDescent="0.3">
      <c r="B40" s="78"/>
      <c r="C40" s="233"/>
      <c r="D40" s="233"/>
      <c r="E40" s="267"/>
      <c r="F40" s="271"/>
      <c r="G40" s="232"/>
      <c r="H40" s="204"/>
      <c r="I40" s="79"/>
      <c r="J40" s="79"/>
      <c r="K40" s="79"/>
      <c r="L40" s="79"/>
      <c r="M40" s="63"/>
      <c r="N40" s="63"/>
      <c r="O40" s="63"/>
      <c r="P40" s="63"/>
      <c r="Q40" s="63"/>
    </row>
    <row r="41" spans="2:17" s="22" customFormat="1" ht="31.85" customHeight="1" x14ac:dyDescent="0.3">
      <c r="B41" s="15" t="s" vm="187">
        <v>153</v>
      </c>
      <c r="C41" s="233" vm="1834">
        <v>0</v>
      </c>
      <c r="D41" s="233" vm="1835">
        <v>0</v>
      </c>
      <c r="E41" s="266" t="s">
        <v>127</v>
      </c>
      <c r="F41" s="271" vm="1833">
        <v>0</v>
      </c>
      <c r="G41" s="232" vm="1832">
        <v>0</v>
      </c>
      <c r="H41" s="204" t="s">
        <v>127</v>
      </c>
    </row>
    <row r="42" spans="2:17" s="64" customFormat="1" ht="3.75" customHeight="1" thickBot="1" x14ac:dyDescent="0.35">
      <c r="C42" s="233"/>
      <c r="D42" s="233"/>
      <c r="E42" s="266"/>
      <c r="F42" s="271"/>
      <c r="G42" s="232"/>
      <c r="H42" s="204"/>
      <c r="I42" s="79"/>
      <c r="J42" s="79"/>
      <c r="K42" s="79"/>
      <c r="L42" s="79"/>
      <c r="M42" s="63"/>
      <c r="N42" s="63"/>
      <c r="O42" s="63"/>
      <c r="P42" s="63"/>
      <c r="Q42" s="63"/>
    </row>
    <row r="43" spans="2:17" ht="37.549999999999997" customHeight="1" thickBot="1" x14ac:dyDescent="0.35">
      <c r="B43" s="120" t="s" vm="174">
        <v>154</v>
      </c>
      <c r="C43" s="235" vm="1491">
        <v>0</v>
      </c>
      <c r="D43" s="235" vm="1836">
        <v>0</v>
      </c>
      <c r="E43" s="330" t="s">
        <v>127</v>
      </c>
      <c r="F43" s="235" vm="1681">
        <v>0</v>
      </c>
      <c r="G43" s="234" vm="1837">
        <v>0</v>
      </c>
      <c r="H43" s="243" t="s">
        <v>127</v>
      </c>
    </row>
    <row r="44" spans="2:17" s="64" customFormat="1" ht="3.75" customHeight="1" x14ac:dyDescent="0.3">
      <c r="B44" s="78"/>
      <c r="C44" s="233"/>
      <c r="D44" s="233"/>
      <c r="E44" s="296"/>
      <c r="F44" s="271"/>
      <c r="G44" s="232"/>
      <c r="H44" s="204"/>
      <c r="I44" s="79"/>
      <c r="J44" s="79"/>
      <c r="K44" s="79"/>
      <c r="L44" s="79"/>
      <c r="M44" s="63"/>
      <c r="N44" s="63"/>
      <c r="O44" s="63"/>
      <c r="P44" s="63"/>
      <c r="Q44" s="63"/>
    </row>
    <row r="45" spans="2:17" s="22" customFormat="1" ht="31.85" customHeight="1" x14ac:dyDescent="0.3">
      <c r="B45" s="15" t="s" vm="186">
        <v>155</v>
      </c>
      <c r="C45" s="233" vm="1140">
        <v>0</v>
      </c>
      <c r="D45" s="233" vm="1202">
        <v>0</v>
      </c>
      <c r="E45" s="266" t="s">
        <v>127</v>
      </c>
      <c r="F45" s="271" vm="1010">
        <v>0</v>
      </c>
      <c r="G45" s="232" vm="1238">
        <v>0</v>
      </c>
      <c r="H45" s="204" t="s">
        <v>127</v>
      </c>
    </row>
    <row r="46" spans="2:17" s="64" customFormat="1" ht="3.75" customHeight="1" thickBot="1" x14ac:dyDescent="0.35">
      <c r="C46" s="233"/>
      <c r="D46" s="233"/>
      <c r="E46" s="266"/>
      <c r="F46" s="271"/>
      <c r="G46" s="232"/>
      <c r="H46" s="204"/>
      <c r="I46" s="79"/>
      <c r="J46" s="79"/>
      <c r="K46" s="79"/>
      <c r="L46" s="79"/>
      <c r="M46" s="63"/>
      <c r="N46" s="63"/>
      <c r="O46" s="63"/>
      <c r="P46" s="63"/>
      <c r="Q46" s="63"/>
    </row>
    <row r="47" spans="2:17" ht="37.549999999999997" customHeight="1" thickBot="1" x14ac:dyDescent="0.35">
      <c r="B47" s="120" t="s" vm="173">
        <v>156</v>
      </c>
      <c r="C47" s="235" vm="1295">
        <v>0</v>
      </c>
      <c r="D47" s="235" vm="1076">
        <v>0</v>
      </c>
      <c r="E47" s="330" t="s">
        <v>127</v>
      </c>
      <c r="F47" s="235" vm="1449">
        <v>0</v>
      </c>
      <c r="G47" s="234" vm="1058">
        <v>0</v>
      </c>
      <c r="H47" s="243" t="s">
        <v>127</v>
      </c>
    </row>
    <row r="48" spans="2:17" s="64" customFormat="1" ht="3.75" customHeight="1" x14ac:dyDescent="0.3">
      <c r="B48" s="78"/>
      <c r="C48" s="16"/>
      <c r="D48" s="16"/>
      <c r="E48" s="296"/>
      <c r="F48" s="42"/>
      <c r="G48" s="18"/>
      <c r="H48" s="204"/>
      <c r="I48" s="79"/>
      <c r="J48" s="79"/>
      <c r="K48" s="79"/>
      <c r="L48" s="79"/>
      <c r="M48" s="63"/>
      <c r="N48" s="63"/>
      <c r="O48" s="63"/>
      <c r="P48" s="63"/>
      <c r="Q48" s="63"/>
    </row>
    <row r="49" spans="2:12" ht="23.3" customHeight="1" x14ac:dyDescent="0.3">
      <c r="B49" s="31" t="s">
        <v>69</v>
      </c>
      <c r="C49" s="242">
        <v>1107911499.8099997</v>
      </c>
      <c r="D49" s="242">
        <v>1082801572.2099998</v>
      </c>
      <c r="E49" s="297">
        <v>97.73358001931507</v>
      </c>
      <c r="F49" s="242">
        <v>48445</v>
      </c>
      <c r="G49" s="242">
        <v>45692</v>
      </c>
      <c r="H49" s="283">
        <v>94.317267003818756</v>
      </c>
    </row>
    <row r="50" spans="2:12" x14ac:dyDescent="0.3">
      <c r="B50" s="85"/>
      <c r="C50" s="85"/>
      <c r="D50" s="85"/>
      <c r="E50" s="91"/>
      <c r="F50" s="85"/>
      <c r="G50" s="85"/>
      <c r="H50" s="91"/>
      <c r="I50" s="22"/>
      <c r="J50" s="22"/>
      <c r="K50" s="22"/>
      <c r="L50" s="22"/>
    </row>
    <row r="51" spans="2:12" x14ac:dyDescent="0.3">
      <c r="B51" s="85"/>
      <c r="C51" s="85"/>
      <c r="D51" s="85"/>
      <c r="E51" s="91"/>
      <c r="F51" s="85"/>
      <c r="G51" s="85"/>
      <c r="H51" s="91"/>
      <c r="I51" s="22"/>
      <c r="J51" s="22"/>
      <c r="K51" s="22"/>
      <c r="L51" s="22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2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3"/>
  <sheetViews>
    <sheetView showGridLines="0" zoomScaleNormal="100" workbookViewId="0">
      <selection activeCell="C8" sqref="C8"/>
    </sheetView>
  </sheetViews>
  <sheetFormatPr defaultColWidth="8.8984375" defaultRowHeight="14.4" x14ac:dyDescent="0.3"/>
  <cols>
    <col min="1" max="1" width="8.8984375" style="1"/>
    <col min="2" max="2" width="74.59765625" style="1" customWidth="1"/>
    <col min="3" max="6" width="17.69921875" style="1" customWidth="1"/>
    <col min="7" max="16384" width="8.8984375" style="1"/>
  </cols>
  <sheetData>
    <row r="1" spans="1:9" ht="53.45" customHeight="1" x14ac:dyDescent="0.3">
      <c r="A1" s="359" t="e">
        <f>"ZARAČUNATA BRUTO PREMIJA I BROJ OSIGURANJA ODABRANIH VRSTA OSIGURANJA/RIZIKA (ŽIVOT)
- podaci za "&amp;#REF!&amp;" "&amp;#REF!&amp;".-"</f>
        <v>#REF!</v>
      </c>
      <c r="B1" s="359"/>
      <c r="C1" s="359"/>
      <c r="D1" s="359"/>
      <c r="E1" s="359"/>
      <c r="F1" s="359"/>
      <c r="G1" s="359"/>
      <c r="H1" s="359"/>
      <c r="I1" s="359"/>
    </row>
    <row r="2" spans="1:9" x14ac:dyDescent="0.3">
      <c r="A2" s="362"/>
      <c r="B2" s="362"/>
      <c r="C2" s="362"/>
      <c r="D2" s="362"/>
      <c r="E2" s="362"/>
      <c r="F2" s="362"/>
      <c r="G2" s="362"/>
      <c r="H2" s="362"/>
      <c r="I2" s="362"/>
    </row>
    <row r="4" spans="1:9" ht="14.95" thickBot="1" x14ac:dyDescent="0.35"/>
    <row r="5" spans="1:9" x14ac:dyDescent="0.3">
      <c r="B5" s="356" t="s">
        <v>44</v>
      </c>
      <c r="C5" s="363" t="s">
        <v>108</v>
      </c>
      <c r="D5" s="363"/>
      <c r="E5" s="363"/>
      <c r="F5" s="364"/>
      <c r="G5" s="303"/>
      <c r="H5" s="304"/>
    </row>
    <row r="6" spans="1:9" s="309" customFormat="1" ht="47.1" thickBot="1" x14ac:dyDescent="0.35">
      <c r="A6" s="1"/>
      <c r="B6" s="357"/>
      <c r="C6" s="305" t="s">
        <v>109</v>
      </c>
      <c r="D6" s="305" t="s">
        <v>110</v>
      </c>
      <c r="E6" s="305" t="s">
        <v>111</v>
      </c>
      <c r="F6" s="306" t="s">
        <v>112</v>
      </c>
      <c r="G6" s="307"/>
      <c r="H6" s="308"/>
      <c r="I6" s="1"/>
    </row>
    <row r="7" spans="1:9" s="310" customFormat="1" ht="3.75" customHeight="1" x14ac:dyDescent="0.3">
      <c r="A7" s="1"/>
      <c r="B7" s="64"/>
      <c r="C7" s="100"/>
      <c r="D7" s="100"/>
      <c r="E7" s="308"/>
      <c r="F7" s="100"/>
      <c r="G7" s="100"/>
      <c r="H7" s="308"/>
      <c r="I7" s="1"/>
    </row>
    <row r="8" spans="1:9" s="310" customFormat="1" ht="24.8" customHeight="1" x14ac:dyDescent="0.3">
      <c r="A8" s="309"/>
      <c r="B8" s="15" t="str" vm="415">
        <f>CUBEMEMBER("KRK HUO2 RH Statistika","[Podvrste osiguranja].[hPodvrsteOsiguranja].[Rizik].&amp;[96]")</f>
        <v>19.01 OSIGURANJE ŽIVOTA ZA SLUČAJ SMRTI I DOŽIVLJENJA (MJEŠOVITO OSIGURANJE)</v>
      </c>
      <c r="C8" s="312" t="e">
        <f>IF(CUBEVALUE("KRK HUO2 RH Statistika",CUBEMEMBER("KRK HUO2 RH Statistika","[Godina Podatka].[Godina podatka].&amp;["&amp;#REF!&amp;"]"),CUBEMEMBER("KRK HUO2 RH Statistika","[Measures].[Broj novih osiguranja s višekratnim plaćanjem premije]"),$B8,Slicer_Učestalost_podatka)="",0,CUBEVALUE("KRK HUO2 RH Statistika",CUBEMEMBER("KRK HUO2 RH Statistika","[Godina Podatka].[Godina podatka].&amp;["&amp;#REF!&amp;"]"),CUBEMEMBER("KRK HUO2 RH Statistika","[Measures].[Broj novih osiguranja s višekratnim plaćanjem premije]"),$B8,Slicer_Učestalost_podatka))</f>
        <v>#REF!</v>
      </c>
      <c r="D8" s="312" t="e">
        <f>IF(CUBEVALUE("KRK HUO2 RH Statistika",CUBEMEMBER("KRK HUO2 RH Statistika","[Godina Podatka].[Godina podatka].&amp;["&amp;#REF!&amp;"]"),CUBEMEMBER("KRK HUO2 RH Statistika","[Measures].[Broj novih osiguranja s jednokratnim plaćanjem premije]"),$B8,Slicer_Učestalost_podatka)="",0,CUBEVALUE("KRK HUO2 RH Statistika",CUBEMEMBER("KRK HUO2 RH Statistika","[Godina Podatka].[Godina podatka].&amp;["&amp;#REF!&amp;"]"),CUBEMEMBER("KRK HUO2 RH Statistika","[Measures].[Broj novih osiguranja s jednokratnim plaćanjem premije]"),$B8,Slicer_Učestalost_podatka))</f>
        <v>#REF!</v>
      </c>
      <c r="E8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premije]"),$B8,Slicer_Učestalost_podatka)="",0,CUBEVALUE("KRK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premije]"),$B8,Slicer_Učestalost_podatka))</f>
        <v>#REF!</v>
      </c>
      <c r="F8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premije]"),$B8,Slicer_Učestalost_podatka)="",0,CUBEVALUE("KRK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premije]"),$B8,Slicer_Učestalost_podatka))</f>
        <v>#REF!</v>
      </c>
      <c r="G8" s="309"/>
      <c r="H8" s="309"/>
      <c r="I8" s="309"/>
    </row>
    <row r="9" spans="1:9" s="310" customFormat="1" ht="24.8" customHeight="1" x14ac:dyDescent="0.25">
      <c r="B9" s="15" t="str" vm="410">
        <f>CUBEMEMBER("KRK HUO2 RH Statistika","[Podvrste osiguranja].[hPodvrsteOsiguranja].[Rizik].&amp;[97]")</f>
        <v>19.02 OSIGURANJE ZA SLUČAJ SMRTI</v>
      </c>
      <c r="C9" s="312" t="e">
        <f>IF(CUBEVALUE("KRK HUO2 RH Statistika",CUBEMEMBER("KRK HUO2 RH Statistika","[Godina Podatka].[Godina podatka].&amp;["&amp;#REF!&amp;"]"),CUBEMEMBER("KRK HUO2 RH Statistika","[Measures].[Broj novih osiguranja s višekratnim plaćanjem premije]"),$B9,Slicer_Učestalost_podatka)="",0,CUBEVALUE("KRK HUO2 RH Statistika",CUBEMEMBER("KRK HUO2 RH Statistika","[Godina Podatka].[Godina podatka].&amp;["&amp;#REF!&amp;"]"),CUBEMEMBER("KRK HUO2 RH Statistika","[Measures].[Broj novih osiguranja s višekratnim plaćanjem premije]"),$B9,Slicer_Učestalost_podatka))</f>
        <v>#REF!</v>
      </c>
      <c r="D9" s="312" t="e">
        <f>IF(CUBEVALUE("KRK HUO2 RH Statistika",CUBEMEMBER("KRK HUO2 RH Statistika","[Godina Podatka].[Godina podatka].&amp;["&amp;#REF!&amp;"]"),CUBEMEMBER("KRK HUO2 RH Statistika","[Measures].[Broj novih osiguranja s jednokratnim plaćanjem premije]"),$B9,Slicer_Učestalost_podatka)="",0,CUBEVALUE("KRK HUO2 RH Statistika",CUBEMEMBER("KRK HUO2 RH Statistika","[Godina Podatka].[Godina podatka].&amp;["&amp;#REF!&amp;"]"),CUBEMEMBER("KRK HUO2 RH Statistika","[Measures].[Broj novih osiguranja s jednokratnim plaćanjem premije]"),$B9,Slicer_Učestalost_podatka))</f>
        <v>#REF!</v>
      </c>
      <c r="E9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premije]"),$B9,Slicer_Učestalost_podatka)="",0,CUBEVALUE("KRK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premije]"),$B9,Slicer_Učestalost_podatka))</f>
        <v>#REF!</v>
      </c>
      <c r="F9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premije]"),$B9,Slicer_Učestalost_podatka)="",0,CUBEVALUE("KRK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premije]"),$B9,Slicer_Učestalost_podatka))</f>
        <v>#REF!</v>
      </c>
    </row>
    <row r="10" spans="1:9" s="310" customFormat="1" ht="24.8" customHeight="1" x14ac:dyDescent="0.25">
      <c r="B10" s="15" t="str" vm="405">
        <f>CUBEMEMBER("KRK HUO2 RH Statistika","[Podvrste osiguranja].[hPodvrsteOsiguranja].[Rizik].&amp;[98]")</f>
        <v>19.03 OSIGURANJE ZA SLUČAJ DOŽIVLJENJA</v>
      </c>
      <c r="C10" s="312" t="e">
        <f>IF(CUBEVALUE("KRK HUO2 RH Statistika",CUBEMEMBER("KRK HUO2 RH Statistika","[Godina Podatka].[Godina podatka].&amp;["&amp;#REF!&amp;"]"),CUBEMEMBER("KRK HUO2 RH Statistika","[Measures].[Broj novih osiguranja s višekratnim plaćanjem premije]"),$B10,Slicer_Učestalost_podatka)="",0,CUBEVALUE("KRK HUO2 RH Statistika",CUBEMEMBER("KRK HUO2 RH Statistika","[Godina Podatka].[Godina podatka].&amp;["&amp;#REF!&amp;"]"),CUBEMEMBER("KRK HUO2 RH Statistika","[Measures].[Broj novih osiguranja s višekratnim plaćanjem premije]"),$B10,Slicer_Učestalost_podatka))</f>
        <v>#REF!</v>
      </c>
      <c r="D10" s="312" t="e">
        <f>IF(CUBEVALUE("KRK HUO2 RH Statistika",CUBEMEMBER("KRK HUO2 RH Statistika","[Godina Podatka].[Godina podatka].&amp;["&amp;#REF!&amp;"]"),CUBEMEMBER("KRK HUO2 RH Statistika","[Measures].[Broj novih osiguranja s jednokratnim plaćanjem premije]"),$B10,Slicer_Učestalost_podatka)="",0,CUBEVALUE("KRK HUO2 RH Statistika",CUBEMEMBER("KRK HUO2 RH Statistika","[Godina Podatka].[Godina podatka].&amp;["&amp;#REF!&amp;"]"),CUBEMEMBER("KRK HUO2 RH Statistika","[Measures].[Broj novih osiguranja s jednokratnim plaćanjem premije]"),$B10,Slicer_Učestalost_podatka))</f>
        <v>#REF!</v>
      </c>
      <c r="E10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premije]"),$B10,Slicer_Učestalost_podatka)="",0,CUBEVALUE("KRK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premije]"),$B10,Slicer_Učestalost_podatka))</f>
        <v>#REF!</v>
      </c>
      <c r="F10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premije]"),$B10,Slicer_Učestalost_podatka)="",0,CUBEVALUE("KRK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premije]"),$B10,Slicer_Učestalost_podatka))</f>
        <v>#REF!</v>
      </c>
    </row>
    <row r="11" spans="1:9" s="310" customFormat="1" ht="24.8" customHeight="1" x14ac:dyDescent="0.25">
      <c r="B11" s="15" t="str" vm="420">
        <f>CUBEMEMBER("KRK HUO2 RH Statistika","[Podvrste osiguranja].[hPodvrsteOsiguranja].[Rizik].&amp;[99]")</f>
        <v>19.04 DOŽIVOTNO OSIGURANJE ZA SLUČAJ SMRTI</v>
      </c>
      <c r="C11" s="312" t="e">
        <f>IF(CUBEVALUE("KRK HUO2 RH Statistika",CUBEMEMBER("KRK HUO2 RH Statistika","[Godina Podatka].[Godina podatka].&amp;["&amp;#REF!&amp;"]"),CUBEMEMBER("KRK HUO2 RH Statistika","[Measures].[Broj novih osiguranja s višekratnim plaćanjem premije]"),$B11,Slicer_Učestalost_podatka)="",0,CUBEVALUE("KRK HUO2 RH Statistika",CUBEMEMBER("KRK HUO2 RH Statistika","[Godina Podatka].[Godina podatka].&amp;["&amp;#REF!&amp;"]"),CUBEMEMBER("KRK HUO2 RH Statistika","[Measures].[Broj novih osiguranja s višekratnim plaćanjem premije]"),$B11,Slicer_Učestalost_podatka))</f>
        <v>#REF!</v>
      </c>
      <c r="D11" s="312" t="e">
        <f>IF(CUBEVALUE("KRK HUO2 RH Statistika",CUBEMEMBER("KRK HUO2 RH Statistika","[Godina Podatka].[Godina podatka].&amp;["&amp;#REF!&amp;"]"),CUBEMEMBER("KRK HUO2 RH Statistika","[Measures].[Broj novih osiguranja s jednokratnim plaćanjem premije]"),$B11,Slicer_Učestalost_podatka)="",0,CUBEVALUE("KRK HUO2 RH Statistika",CUBEMEMBER("KRK HUO2 RH Statistika","[Godina Podatka].[Godina podatka].&amp;["&amp;#REF!&amp;"]"),CUBEMEMBER("KRK HUO2 RH Statistika","[Measures].[Broj novih osiguranja s jednokratnim plaćanjem premije]"),$B11,Slicer_Učestalost_podatka))</f>
        <v>#REF!</v>
      </c>
      <c r="E11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premije]"),$B11,Slicer_Učestalost_podatka)="",0,CUBEVALUE("KRK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premije]"),$B11,Slicer_Učestalost_podatka))</f>
        <v>#REF!</v>
      </c>
      <c r="F11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premije]"),$B11,Slicer_Učestalost_podatka)="",0,CUBEVALUE("KRK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premije]"),$B11,Slicer_Učestalost_podatka))</f>
        <v>#REF!</v>
      </c>
    </row>
    <row r="12" spans="1:9" s="310" customFormat="1" ht="24.8" customHeight="1" x14ac:dyDescent="0.25">
      <c r="B12" s="15" t="str" vm="414">
        <f>CUBEMEMBER("KRK HUO2 RH Statistika","[Podvrste osiguranja].[hPodvrsteOsiguranja].[Rizik].&amp;[100]")</f>
        <v>19.05 OSIGURANJE KRITIČNIH BOLESTI</v>
      </c>
      <c r="C12" s="312" t="e">
        <f>IF(CUBEVALUE("KRK HUO2 RH Statistika",CUBEMEMBER("KRK HUO2 RH Statistika","[Godina Podatka].[Godina podatka].&amp;["&amp;#REF!&amp;"]"),CUBEMEMBER("KRK HUO2 RH Statistika","[Measures].[Broj novih osiguranja s višekratnim plaćanjem premije]"),$B12,Slicer_Učestalost_podatka)="",0,CUBEVALUE("KRK HUO2 RH Statistika",CUBEMEMBER("KRK HUO2 RH Statistika","[Godina Podatka].[Godina podatka].&amp;["&amp;#REF!&amp;"]"),CUBEMEMBER("KRK HUO2 RH Statistika","[Measures].[Broj novih osiguranja s višekratnim plaćanjem premije]"),$B12,Slicer_Učestalost_podatka))</f>
        <v>#REF!</v>
      </c>
      <c r="D12" s="312" t="e">
        <f>IF(CUBEVALUE("KRK HUO2 RH Statistika",CUBEMEMBER("KRK HUO2 RH Statistika","[Godina Podatka].[Godina podatka].&amp;["&amp;#REF!&amp;"]"),CUBEMEMBER("KRK HUO2 RH Statistika","[Measures].[Broj novih osiguranja s jednokratnim plaćanjem premije]"),$B12,Slicer_Učestalost_podatka)="",0,CUBEVALUE("KRK HUO2 RH Statistika",CUBEMEMBER("KRK HUO2 RH Statistika","[Godina Podatka].[Godina podatka].&amp;["&amp;#REF!&amp;"]"),CUBEMEMBER("KRK HUO2 RH Statistika","[Measures].[Broj novih osiguranja s jednokratnim plaćanjem premije]"),$B12,Slicer_Učestalost_podatka))</f>
        <v>#REF!</v>
      </c>
      <c r="E12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premije]"),$B12,Slicer_Učestalost_podatka)="",0,CUBEVALUE("KRK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premije]"),$B12,Slicer_Učestalost_podatka))</f>
        <v>#REF!</v>
      </c>
      <c r="F12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premije]"),$B12,Slicer_Učestalost_podatka)="",0,CUBEVALUE("KRK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premije]"),$B12,Slicer_Učestalost_podatka))</f>
        <v>#REF!</v>
      </c>
    </row>
    <row r="13" spans="1:9" s="309" customFormat="1" ht="24.8" customHeight="1" thickBot="1" x14ac:dyDescent="0.35">
      <c r="A13" s="310"/>
      <c r="B13" s="15" t="str" vm="409">
        <f>CUBEMEMBER("KRK HUO2 RH Statistika","[Podvrste osiguranja].[hPodvrsteOsiguranja].[Rizik].&amp;[108]")</f>
        <v>19.99 OSTALA OSIGURANJA ŽIVOTA</v>
      </c>
      <c r="C13" s="312" t="e">
        <f>IF(CUBEVALUE("KRK HUO2 RH Statistika",CUBEMEMBER("KRK HUO2 RH Statistika","[Godina Podatka].[Godina podatka].&amp;["&amp;#REF!&amp;"]"),CUBEMEMBER("KRK HUO2 RH Statistika","[Measures].[Broj novih osiguranja s višekratnim plaćanjem premije]"),$B13,Slicer_Učestalost_podatka)="",0,CUBEVALUE("KRK HUO2 RH Statistika",CUBEMEMBER("KRK HUO2 RH Statistika","[Godina Podatka].[Godina podatka].&amp;["&amp;#REF!&amp;"]"),CUBEMEMBER("KRK HUO2 RH Statistika","[Measures].[Broj novih osiguranja s višekratnim plaćanjem premije]"),$B13,Slicer_Učestalost_podatka))</f>
        <v>#REF!</v>
      </c>
      <c r="D13" s="312" t="e">
        <f>IF(CUBEVALUE("KRK HUO2 RH Statistika",CUBEMEMBER("KRK HUO2 RH Statistika","[Godina Podatka].[Godina podatka].&amp;["&amp;#REF!&amp;"]"),CUBEMEMBER("KRK HUO2 RH Statistika","[Measures].[Broj novih osiguranja s jednokratnim plaćanjem premije]"),$B13,Slicer_Učestalost_podatka)="",0,CUBEVALUE("KRK HUO2 RH Statistika",CUBEMEMBER("KRK HUO2 RH Statistika","[Godina Podatka].[Godina podatka].&amp;["&amp;#REF!&amp;"]"),CUBEMEMBER("KRK HUO2 RH Statistika","[Measures].[Broj novih osiguranja s jednokratnim plaćanjem premije]"),$B13,Slicer_Učestalost_podatka))</f>
        <v>#REF!</v>
      </c>
      <c r="E13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premije]"),$B13,Slicer_Učestalost_podatka)="",0,CUBEVALUE("KRK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premije]"),$B13,Slicer_Učestalost_podatka))</f>
        <v>#REF!</v>
      </c>
      <c r="F13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premije]"),$B13,Slicer_Učestalost_podatka)="",0,CUBEVALUE("KRK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premije]"),$B13,Slicer_Učestalost_podatka))</f>
        <v>#REF!</v>
      </c>
      <c r="G13" s="310"/>
      <c r="H13" s="310"/>
      <c r="I13" s="310"/>
    </row>
    <row r="14" spans="1:9" s="309" customFormat="1" ht="24.8" customHeight="1" thickBot="1" x14ac:dyDescent="0.35">
      <c r="A14" s="310"/>
      <c r="B14" s="26" t="str" vm="199">
        <f>CUBEMEMBER("KRK HUO2 RH Statistika","[Rizici].[hSkupineRiziciOsiguranja].[Vrsta osiguranja].&amp;[19]")</f>
        <v>19 ŽIVOTNO OSIGURANJE</v>
      </c>
      <c r="C14" s="313" t="e">
        <f>SUM(C8:C13)</f>
        <v>#REF!</v>
      </c>
      <c r="D14" s="313" t="e">
        <f>SUM(D8:D13)</f>
        <v>#REF!</v>
      </c>
      <c r="E14" s="313" t="e">
        <f t="shared" ref="E14:F14" si="0">SUM(E8:E13)</f>
        <v>#REF!</v>
      </c>
      <c r="F14" s="313" t="e">
        <f t="shared" si="0"/>
        <v>#REF!</v>
      </c>
      <c r="G14" s="310"/>
      <c r="H14" s="310"/>
      <c r="I14" s="310"/>
    </row>
    <row r="15" spans="1:9" s="310" customFormat="1" ht="24.8" customHeight="1" x14ac:dyDescent="0.3">
      <c r="A15" s="309"/>
      <c r="B15" s="15" t="str" vm="404">
        <f>CUBEMEMBER("KRK HUO2 RH Statistika","[Podvrste osiguranja].[hPodvrsteOsiguranja].[Rizik].&amp;[109]")</f>
        <v>20.01 OSIGURANJE OSOBNE DOŽIVOTNE RENTE</v>
      </c>
      <c r="C15" s="312" t="e">
        <f>IF(CUBEVALUE("KRK HUO2 RH Statistika",CUBEMEMBER("KRK HUO2 RH Statistika","[Godina Podatka].[Godina podatka].&amp;["&amp;#REF!&amp;"]"),CUBEMEMBER("KRK HUO2 RH Statistika","[Measures].[Broj novih osiguranja s višekratnim plaćanjem premije]"),$B15,Slicer_Učestalost_podatka)="",0,CUBEVALUE("KRK HUO2 RH Statistika",CUBEMEMBER("KRK HUO2 RH Statistika","[Godina Podatka].[Godina podatka].&amp;["&amp;#REF!&amp;"]"),CUBEMEMBER("KRK HUO2 RH Statistika","[Measures].[Broj novih osiguranja s višekratnim plaćanjem premije]"),$B15,Slicer_Učestalost_podatka))</f>
        <v>#REF!</v>
      </c>
      <c r="D15" s="312" t="e">
        <f>IF(CUBEVALUE("KRK HUO2 RH Statistika",CUBEMEMBER("KRK HUO2 RH Statistika","[Godina Podatka].[Godina podatka].&amp;["&amp;#REF!&amp;"]"),CUBEMEMBER("KRK HUO2 RH Statistika","[Measures].[Broj novih osiguranja s jednokratnim plaćanjem premije]"),$B15,Slicer_Učestalost_podatka)="",0,CUBEVALUE("KRK HUO2 RH Statistika",CUBEMEMBER("KRK HUO2 RH Statistika","[Godina Podatka].[Godina podatka].&amp;["&amp;#REF!&amp;"]"),CUBEMEMBER("KRK HUO2 RH Statistika","[Measures].[Broj novih osiguranja s jednokratnim plaćanjem premije]"),$B15,Slicer_Učestalost_podatka))</f>
        <v>#REF!</v>
      </c>
      <c r="E15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premije]"),$B15,Slicer_Učestalost_podatka)="",0,CUBEVALUE("KRK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premije]"),$B15,Slicer_Učestalost_podatka))</f>
        <v>#REF!</v>
      </c>
      <c r="F15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premije]"),$B15,Slicer_Učestalost_podatka)="",0,CUBEVALUE("KRK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premije]"),$B15,Slicer_Učestalost_podatka))</f>
        <v>#REF!</v>
      </c>
      <c r="G15" s="309"/>
      <c r="H15" s="309"/>
      <c r="I15" s="309"/>
    </row>
    <row r="16" spans="1:9" s="310" customFormat="1" ht="24.8" customHeight="1" x14ac:dyDescent="0.3">
      <c r="A16" s="309"/>
      <c r="B16" s="15" t="str" vm="419">
        <f>CUBEMEMBER("KRK HUO2 RH Statistika","[Podvrste osiguranja].[hPodvrsteOsiguranja].[Rizik].&amp;[110]")</f>
        <v>20.02 OSIGURANJE OSOBNE RENTE S ODREĐENIM TRAJANJEM</v>
      </c>
      <c r="C16" s="312" t="e">
        <f>IF(CUBEVALUE("KRK HUO2 RH Statistika",CUBEMEMBER("KRK HUO2 RH Statistika","[Godina Podatka].[Godina podatka].&amp;["&amp;#REF!&amp;"]"),CUBEMEMBER("KRK HUO2 RH Statistika","[Measures].[Broj novih osiguranja s višekratnim plaćanjem premije]"),$B16,Slicer_Učestalost_podatka)="",0,CUBEVALUE("KRK HUO2 RH Statistika",CUBEMEMBER("KRK HUO2 RH Statistika","[Godina Podatka].[Godina podatka].&amp;["&amp;#REF!&amp;"]"),CUBEMEMBER("KRK HUO2 RH Statistika","[Measures].[Broj novih osiguranja s višekratnim plaćanjem premije]"),$B16,Slicer_Učestalost_podatka))</f>
        <v>#REF!</v>
      </c>
      <c r="D16" s="312" t="e">
        <f>IF(CUBEVALUE("KRK HUO2 RH Statistika",CUBEMEMBER("KRK HUO2 RH Statistika","[Godina Podatka].[Godina podatka].&amp;["&amp;#REF!&amp;"]"),CUBEMEMBER("KRK HUO2 RH Statistika","[Measures].[Broj novih osiguranja s jednokratnim plaćanjem premije]"),$B16,Slicer_Učestalost_podatka)="",0,CUBEVALUE("KRK HUO2 RH Statistika",CUBEMEMBER("KRK HUO2 RH Statistika","[Godina Podatka].[Godina podatka].&amp;["&amp;#REF!&amp;"]"),CUBEMEMBER("KRK HUO2 RH Statistika","[Measures].[Broj novih osiguranja s jednokratnim plaćanjem premije]"),$B16,Slicer_Učestalost_podatka))</f>
        <v>#REF!</v>
      </c>
      <c r="E16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premije]"),$B16,Slicer_Učestalost_podatka)="",0,CUBEVALUE("KRK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premije]"),$B16,Slicer_Učestalost_podatka))</f>
        <v>#REF!</v>
      </c>
      <c r="F16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premije]"),$B16,Slicer_Učestalost_podatka)="",0,CUBEVALUE("KRK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premije]"),$B16,Slicer_Učestalost_podatka))</f>
        <v>#REF!</v>
      </c>
      <c r="G16" s="309"/>
      <c r="H16" s="309"/>
      <c r="I16" s="309"/>
    </row>
    <row r="17" spans="1:9" s="310" customFormat="1" ht="24.8" customHeight="1" thickBot="1" x14ac:dyDescent="0.3">
      <c r="B17" s="15" t="str" vm="413">
        <f>CUBEMEMBER("KRK HUO2 RH Statistika","[Podvrste osiguranja].[hPodvrsteOsiguranja].[Rizik].&amp;[111]")</f>
        <v>20.99 OSTALA RENTNA OSIGURANJA</v>
      </c>
      <c r="C17" s="312" t="e">
        <f>IF(CUBEVALUE("KRK HUO2 RH Statistika",CUBEMEMBER("KRK HUO2 RH Statistika","[Godina Podatka].[Godina podatka].&amp;["&amp;#REF!&amp;"]"),CUBEMEMBER("KRK HUO2 RH Statistika","[Measures].[Broj novih osiguranja s višekratnim plaćanjem premije]"),$B17,Slicer_Učestalost_podatka)="",0,CUBEVALUE("KRK HUO2 RH Statistika",CUBEMEMBER("KRK HUO2 RH Statistika","[Godina Podatka].[Godina podatka].&amp;["&amp;#REF!&amp;"]"),CUBEMEMBER("KRK HUO2 RH Statistika","[Measures].[Broj novih osiguranja s višekratnim plaćanjem premije]"),$B17,Slicer_Učestalost_podatka))</f>
        <v>#REF!</v>
      </c>
      <c r="D17" s="312" t="e">
        <f>IF(CUBEVALUE("KRK HUO2 RH Statistika",CUBEMEMBER("KRK HUO2 RH Statistika","[Godina Podatka].[Godina podatka].&amp;["&amp;#REF!&amp;"]"),CUBEMEMBER("KRK HUO2 RH Statistika","[Measures].[Broj novih osiguranja s jednokratnim plaćanjem premije]"),$B17,Slicer_Učestalost_podatka)="",0,CUBEVALUE("KRK HUO2 RH Statistika",CUBEMEMBER("KRK HUO2 RH Statistika","[Godina Podatka].[Godina podatka].&amp;["&amp;#REF!&amp;"]"),CUBEMEMBER("KRK HUO2 RH Statistika","[Measures].[Broj novih osiguranja s jednokratnim plaćanjem premije]"),$B17,Slicer_Učestalost_podatka))</f>
        <v>#REF!</v>
      </c>
      <c r="E17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premije]"),$B17,Slicer_Učestalost_podatka)="",0,CUBEVALUE("KRK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premije]"),$B17,Slicer_Učestalost_podatka))</f>
        <v>#REF!</v>
      </c>
      <c r="F17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premije]"),$B17,Slicer_Učestalost_podatka)="",0,CUBEVALUE("KRK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premije]"),$B17,Slicer_Učestalost_podatka))</f>
        <v>#REF!</v>
      </c>
    </row>
    <row r="18" spans="1:9" s="309" customFormat="1" ht="24.8" customHeight="1" thickBot="1" x14ac:dyDescent="0.35">
      <c r="A18" s="310"/>
      <c r="B18" s="26" t="str" vm="182">
        <f>CUBEMEMBER("KRK HUO2 RH Statistika","[Rizici].[hSkupineRiziciOsiguranja].[Vrsta osiguranja].&amp;[20]")</f>
        <v>20 RENTNO OSIGURANJE</v>
      </c>
      <c r="C18" s="313" t="e">
        <f>SUM(C15:C17)</f>
        <v>#REF!</v>
      </c>
      <c r="D18" s="313" t="e">
        <f t="shared" ref="D18:F18" si="1">SUM(D15:D17)</f>
        <v>#REF!</v>
      </c>
      <c r="E18" s="313" t="e">
        <f t="shared" si="1"/>
        <v>#REF!</v>
      </c>
      <c r="F18" s="313" t="e">
        <f t="shared" si="1"/>
        <v>#REF!</v>
      </c>
      <c r="G18" s="310"/>
      <c r="H18" s="310"/>
      <c r="I18" s="310"/>
    </row>
    <row r="19" spans="1:9" s="309" customFormat="1" ht="24.8" customHeight="1" x14ac:dyDescent="0.3">
      <c r="A19" s="310"/>
      <c r="B19" s="15" t="str" vm="408">
        <f>CUBEMEMBER("KRK HUO2 RH Statistika","[Podvrste osiguranja].[hPodvrsteOsiguranja].[Rizik].&amp;[112]")</f>
        <v>21.01 DOPUNSKO OSIGURANJE OD POSLJEDICA NEZGODE UZ OSIGURANJE ŽIVOTA</v>
      </c>
      <c r="C19" s="312" t="e">
        <f>IF(CUBEVALUE("KRK HUO2 RH Statistika",CUBEMEMBER("KRK HUO2 RH Statistika","[Godina Podatka].[Godina podatka].&amp;["&amp;#REF!&amp;"]"),CUBEMEMBER("KRK HUO2 RH Statistika","[Measures].[Broj novih osiguranja s višekratnim plaćanjem premije]"),$B19,Slicer_Učestalost_podatka)="",0,CUBEVALUE("KRK HUO2 RH Statistika",CUBEMEMBER("KRK HUO2 RH Statistika","[Godina Podatka].[Godina podatka].&amp;["&amp;#REF!&amp;"]"),CUBEMEMBER("KRK HUO2 RH Statistika","[Measures].[Broj novih osiguranja s višekratnim plaćanjem premije]"),$B19,Slicer_Učestalost_podatka))</f>
        <v>#REF!</v>
      </c>
      <c r="D19" s="312" t="e">
        <f>IF(CUBEVALUE("KRK HUO2 RH Statistika",CUBEMEMBER("KRK HUO2 RH Statistika","[Godina Podatka].[Godina podatka].&amp;["&amp;#REF!&amp;"]"),CUBEMEMBER("KRK HUO2 RH Statistika","[Measures].[Broj novih osiguranja s jednokratnim plaćanjem premije]"),$B19,Slicer_Učestalost_podatka)="",0,CUBEVALUE("KRK HUO2 RH Statistika",CUBEMEMBER("KRK HUO2 RH Statistika","[Godina Podatka].[Godina podatka].&amp;["&amp;#REF!&amp;"]"),CUBEMEMBER("KRK HUO2 RH Statistika","[Measures].[Broj novih osiguranja s jednokratnim plaćanjem premije]"),$B19,Slicer_Učestalost_podatka))</f>
        <v>#REF!</v>
      </c>
      <c r="E19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premije]"),$B19,Slicer_Učestalost_podatka)="",0,CUBEVALUE("KRK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premije]"),$B19,Slicer_Učestalost_podatka))</f>
        <v>#REF!</v>
      </c>
      <c r="F19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premije]"),$B19,Slicer_Učestalost_podatka)="",0,CUBEVALUE("KRK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premije]"),$B19,Slicer_Učestalost_podatka))</f>
        <v>#REF!</v>
      </c>
      <c r="G19" s="310"/>
      <c r="H19" s="310"/>
      <c r="I19" s="310"/>
    </row>
    <row r="20" spans="1:9" s="310" customFormat="1" ht="24.8" customHeight="1" x14ac:dyDescent="0.3">
      <c r="A20" s="309"/>
      <c r="B20" s="15" t="str" vm="403">
        <f>CUBEMEMBER("KRK HUO2 RH Statistika","[Podvrste osiguranja].[hPodvrsteOsiguranja].[Rizik].&amp;[113]")</f>
        <v>21.02 DOPUNSKO ZDRAVSTVENO OSIGURANJE UZ OSIGURANJE ŽIVOTA</v>
      </c>
      <c r="C20" s="312" t="e">
        <f>IF(CUBEVALUE("KRK HUO2 RH Statistika",CUBEMEMBER("KRK HUO2 RH Statistika","[Godina Podatka].[Godina podatka].&amp;["&amp;#REF!&amp;"]"),CUBEMEMBER("KRK HUO2 RH Statistika","[Measures].[Broj novih osiguranja s višekratnim plaćanjem premije]"),$B20,Slicer_Učestalost_podatka)="",0,CUBEVALUE("KRK HUO2 RH Statistika",CUBEMEMBER("KRK HUO2 RH Statistika","[Godina Podatka].[Godina podatka].&amp;["&amp;#REF!&amp;"]"),CUBEMEMBER("KRK HUO2 RH Statistika","[Measures].[Broj novih osiguranja s višekratnim plaćanjem premije]"),$B20,Slicer_Učestalost_podatka))</f>
        <v>#REF!</v>
      </c>
      <c r="D20" s="312" t="e">
        <f>IF(CUBEVALUE("KRK HUO2 RH Statistika",CUBEMEMBER("KRK HUO2 RH Statistika","[Godina Podatka].[Godina podatka].&amp;["&amp;#REF!&amp;"]"),CUBEMEMBER("KRK HUO2 RH Statistika","[Measures].[Broj novih osiguranja s jednokratnim plaćanjem premije]"),$B20,Slicer_Učestalost_podatka)="",0,CUBEVALUE("KRK HUO2 RH Statistika",CUBEMEMBER("KRK HUO2 RH Statistika","[Godina Podatka].[Godina podatka].&amp;["&amp;#REF!&amp;"]"),CUBEMEMBER("KRK HUO2 RH Statistika","[Measures].[Broj novih osiguranja s jednokratnim plaćanjem premije]"),$B20,Slicer_Učestalost_podatka))</f>
        <v>#REF!</v>
      </c>
      <c r="E20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premije]"),$B20,Slicer_Učestalost_podatka)="",0,CUBEVALUE("KRK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premije]"),$B20,Slicer_Učestalost_podatka))</f>
        <v>#REF!</v>
      </c>
      <c r="F20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premije]"),$B20,Slicer_Učestalost_podatka)="",0,CUBEVALUE("KRK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premije]"),$B20,Slicer_Učestalost_podatka))</f>
        <v>#REF!</v>
      </c>
      <c r="G20" s="309"/>
      <c r="H20" s="309"/>
      <c r="I20" s="309"/>
    </row>
    <row r="21" spans="1:9" s="310" customFormat="1" ht="24.8" customHeight="1" thickBot="1" x14ac:dyDescent="0.35">
      <c r="A21" s="309"/>
      <c r="B21" s="15" t="str" vm="418">
        <f>CUBEMEMBER("KRK HUO2 RH Statistika","[Podvrste osiguranja].[hPodvrsteOsiguranja].[Rizik].&amp;[114]")</f>
        <v>21.99 OSTALA DOPUNSKA OSIGURANJA UZ OSIGURANJE ŽIVOTA</v>
      </c>
      <c r="C21" s="312" t="e">
        <f>IF(CUBEVALUE("KRK HUO2 RH Statistika",CUBEMEMBER("KRK HUO2 RH Statistika","[Godina Podatka].[Godina podatka].&amp;["&amp;#REF!&amp;"]"),CUBEMEMBER("KRK HUO2 RH Statistika","[Measures].[Broj novih osiguranja s višekratnim plaćanjem premije]"),$B21,Slicer_Učestalost_podatka)="",0,CUBEVALUE("KRK HUO2 RH Statistika",CUBEMEMBER("KRK HUO2 RH Statistika","[Godina Podatka].[Godina podatka].&amp;["&amp;#REF!&amp;"]"),CUBEMEMBER("KRK HUO2 RH Statistika","[Measures].[Broj novih osiguranja s višekratnim plaćanjem premije]"),$B21,Slicer_Učestalost_podatka))</f>
        <v>#REF!</v>
      </c>
      <c r="D21" s="312" t="e">
        <f>IF(CUBEVALUE("KRK HUO2 RH Statistika",CUBEMEMBER("KRK HUO2 RH Statistika","[Godina Podatka].[Godina podatka].&amp;["&amp;#REF!&amp;"]"),CUBEMEMBER("KRK HUO2 RH Statistika","[Measures].[Broj novih osiguranja s jednokratnim plaćanjem premije]"),$B21,Slicer_Učestalost_podatka)="",0,CUBEVALUE("KRK HUO2 RH Statistika",CUBEMEMBER("KRK HUO2 RH Statistika","[Godina Podatka].[Godina podatka].&amp;["&amp;#REF!&amp;"]"),CUBEMEMBER("KRK HUO2 RH Statistika","[Measures].[Broj novih osiguranja s jednokratnim plaćanjem premije]"),$B21,Slicer_Učestalost_podatka))</f>
        <v>#REF!</v>
      </c>
      <c r="E21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premije]"),$B21,Slicer_Učestalost_podatka)="",0,CUBEVALUE("KRK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premije]"),$B21,Slicer_Učestalost_podatka))</f>
        <v>#REF!</v>
      </c>
      <c r="F21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premije]"),$B21,Slicer_Učestalost_podatka)="",0,CUBEVALUE("KRK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premije]"),$B21,Slicer_Učestalost_podatka))</f>
        <v>#REF!</v>
      </c>
      <c r="G21" s="309"/>
      <c r="H21" s="309"/>
      <c r="I21" s="309"/>
    </row>
    <row r="22" spans="1:9" s="310" customFormat="1" ht="24.8" customHeight="1" thickBot="1" x14ac:dyDescent="0.3">
      <c r="B22" s="26" t="str" vm="180">
        <f>CUBEMEMBER("KRK HUO2 RH Statistika","[Rizici].[hSkupineRiziciOsiguranja].[Vrsta osiguranja].&amp;[21]")</f>
        <v>21 DODATNA OSIGURANJA UZ ŽIVOTNO OSIGURANJE</v>
      </c>
      <c r="C22" s="313" t="e">
        <f>SUM(C19:C21)</f>
        <v>#REF!</v>
      </c>
      <c r="D22" s="313" t="e">
        <f t="shared" ref="D22:F22" si="2">SUM(D19:D21)</f>
        <v>#REF!</v>
      </c>
      <c r="E22" s="313" t="e">
        <f t="shared" si="2"/>
        <v>#REF!</v>
      </c>
      <c r="F22" s="313" t="e">
        <f t="shared" si="2"/>
        <v>#REF!</v>
      </c>
    </row>
    <row r="23" spans="1:9" s="309" customFormat="1" ht="24.8" customHeight="1" thickBot="1" x14ac:dyDescent="0.35">
      <c r="A23" s="310"/>
      <c r="B23" s="15" t="str" vm="412">
        <f>CUBEMEMBER("KRK HUO2 RH Statistika","[Podvrste osiguranja].[hPodvrsteOsiguranja].[Rizik].&amp;[115]")</f>
        <v>22.01 OSIGURANJE ZA SLUČAJ VJENČANJA ILI ROĐENJA</v>
      </c>
      <c r="C23" s="312" t="e">
        <f>IF(CUBEVALUE("KRK HUO2 RH Statistika",CUBEMEMBER("KRK HUO2 RH Statistika","[Godina Podatka].[Godina podatka].&amp;["&amp;#REF!&amp;"]"),CUBEMEMBER("KRK HUO2 RH Statistika","[Measures].[Broj novih osiguranja s višekratnim plaćanjem premije]"),$B23,Slicer_Učestalost_podatka)="",0,CUBEVALUE("KRK HUO2 RH Statistika",CUBEMEMBER("KRK HUO2 RH Statistika","[Godina Podatka].[Godina podatka].&amp;["&amp;#REF!&amp;"]"),CUBEMEMBER("KRK HUO2 RH Statistika","[Measures].[Broj novih osiguranja s višekratnim plaćanjem premije]"),$B23,Slicer_Učestalost_podatka))</f>
        <v>#REF!</v>
      </c>
      <c r="D23" s="312" t="e">
        <f>IF(CUBEVALUE("KRK HUO2 RH Statistika",CUBEMEMBER("KRK HUO2 RH Statistika","[Godina Podatka].[Godina podatka].&amp;["&amp;#REF!&amp;"]"),CUBEMEMBER("KRK HUO2 RH Statistika","[Measures].[Broj novih osiguranja s jednokratnim plaćanjem premije]"),$B23,Slicer_Učestalost_podatka)="",0,CUBEVALUE("KRK HUO2 RH Statistika",CUBEMEMBER("KRK HUO2 RH Statistika","[Godina Podatka].[Godina podatka].&amp;["&amp;#REF!&amp;"]"),CUBEMEMBER("KRK HUO2 RH Statistika","[Measures].[Broj novih osiguranja s jednokratnim plaćanjem premije]"),$B23,Slicer_Učestalost_podatka))</f>
        <v>#REF!</v>
      </c>
      <c r="E23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premije]"),$B23,Slicer_Učestalost_podatka)="",0,CUBEVALUE("KRK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premije]"),$B23,Slicer_Učestalost_podatka))</f>
        <v>#REF!</v>
      </c>
      <c r="F23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premije]"),$B23,Slicer_Učestalost_podatka)="",0,CUBEVALUE("KRK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premije]"),$B23,Slicer_Učestalost_podatka))</f>
        <v>#REF!</v>
      </c>
      <c r="G23" s="310"/>
      <c r="H23" s="310"/>
      <c r="I23" s="310"/>
    </row>
    <row r="24" spans="1:9" s="309" customFormat="1" ht="24.8" customHeight="1" thickBot="1" x14ac:dyDescent="0.35">
      <c r="A24" s="310"/>
      <c r="B24" s="26" t="str" vm="178">
        <f>CUBEMEMBER("KRK HUO2 RH Statistika","[Rizici].[hSkupineRiziciOsiguranja].[Vrsta osiguranja].&amp;[22]")</f>
        <v>22 OSIGURANJE ZA SLUČAJ VJENČANJA ILI ROĐENJA</v>
      </c>
      <c r="C24" s="313" t="e">
        <f t="shared" ref="C24:F24" si="3">SUM(C23)</f>
        <v>#REF!</v>
      </c>
      <c r="D24" s="314" t="e">
        <f>SUM(D23)</f>
        <v>#REF!</v>
      </c>
      <c r="E24" s="314" t="e">
        <f>SUM(E23)</f>
        <v>#REF!</v>
      </c>
      <c r="F24" s="314" t="e">
        <f t="shared" si="3"/>
        <v>#REF!</v>
      </c>
      <c r="G24" s="310"/>
      <c r="H24" s="310"/>
      <c r="I24" s="310"/>
    </row>
    <row r="25" spans="1:9" s="310" customFormat="1" ht="24.8" customHeight="1" x14ac:dyDescent="0.3">
      <c r="A25" s="309"/>
      <c r="B25" s="15" t="str" vm="407">
        <f>CUBEMEMBER("KRK HUO2 RH Statistika","[Podvrste osiguranja].[hPodvrsteOsiguranja].[Rizik].&amp;[116]")</f>
        <v>23.01 OSIG. ŽIVOTA ZA SLUČAJ SMRTI I DOŽIVLJENJA KOD KOJEG OSIGURANIK NA SEBE PREUZIMA INV. RIZIK</v>
      </c>
      <c r="C25" s="312" t="e">
        <f>IF(CUBEVALUE("KRK HUO2 RH Statistika",CUBEMEMBER("KRK HUO2 RH Statistika","[Godina Podatka].[Godina podatka].&amp;["&amp;#REF!&amp;"]"),CUBEMEMBER("KRK HUO2 RH Statistika","[Measures].[Broj novih osiguranja s višekratnim plaćanjem premije]"),$B25,Slicer_Učestalost_podatka)="",0,CUBEVALUE("KRK HUO2 RH Statistika",CUBEMEMBER("KRK HUO2 RH Statistika","[Godina Podatka].[Godina podatka].&amp;["&amp;#REF!&amp;"]"),CUBEMEMBER("KRK HUO2 RH Statistika","[Measures].[Broj novih osiguranja s višekratnim plaćanjem premije]"),$B25,Slicer_Učestalost_podatka))</f>
        <v>#REF!</v>
      </c>
      <c r="D25" s="312" t="e">
        <f>IF(CUBEVALUE("KRK HUO2 RH Statistika",CUBEMEMBER("KRK HUO2 RH Statistika","[Godina Podatka].[Godina podatka].&amp;["&amp;#REF!&amp;"]"),CUBEMEMBER("KRK HUO2 RH Statistika","[Measures].[Broj novih osiguranja s jednokratnim plaćanjem premije]"),$B25,Slicer_Učestalost_podatka)="",0,CUBEVALUE("KRK HUO2 RH Statistika",CUBEMEMBER("KRK HUO2 RH Statistika","[Godina Podatka].[Godina podatka].&amp;["&amp;#REF!&amp;"]"),CUBEMEMBER("KRK HUO2 RH Statistika","[Measures].[Broj novih osiguranja s jednokratnim plaćanjem premije]"),$B25,Slicer_Učestalost_podatka))</f>
        <v>#REF!</v>
      </c>
      <c r="E25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premije]"),$B25,Slicer_Učestalost_podatka)="",0,CUBEVALUE("KRK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premije]"),$B25,Slicer_Učestalost_podatka))</f>
        <v>#REF!</v>
      </c>
      <c r="F25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premije]"),$B25,Slicer_Učestalost_podatka)="",0,CUBEVALUE("KRK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premije]"),$B25,Slicer_Učestalost_podatka))</f>
        <v>#REF!</v>
      </c>
      <c r="G25" s="309"/>
      <c r="H25" s="309"/>
      <c r="I25" s="309"/>
    </row>
    <row r="26" spans="1:9" s="309" customFormat="1" ht="24.8" customHeight="1" x14ac:dyDescent="0.3">
      <c r="B26" s="15" t="str" vm="402">
        <f>CUBEMEMBER("KRK HUO2 RH Statistika","[Podvrste osiguranja].[hPodvrsteOsiguranja].[Rizik].&amp;[117]")</f>
        <v>23.02 OSIGURANJE ZA SLUČAJ SMRTI KOD KOJEG OSIGURANIK NA SEBE PREUZIMA INVESTICIJSKI RIZIK</v>
      </c>
      <c r="C26" s="312" t="e">
        <f>IF(CUBEVALUE("KRK HUO2 RH Statistika",CUBEMEMBER("KRK HUO2 RH Statistika","[Godina Podatka].[Godina podatka].&amp;["&amp;#REF!&amp;"]"),CUBEMEMBER("KRK HUO2 RH Statistika","[Measures].[Broj novih osiguranja s višekratnim plaćanjem premije]"),$B26,Slicer_Učestalost_podatka)="",0,CUBEVALUE("KRK HUO2 RH Statistika",CUBEMEMBER("KRK HUO2 RH Statistika","[Godina Podatka].[Godina podatka].&amp;["&amp;#REF!&amp;"]"),CUBEMEMBER("KRK HUO2 RH Statistika","[Measures].[Broj novih osiguranja s višekratnim plaćanjem premije]"),$B26,Slicer_Učestalost_podatka))</f>
        <v>#REF!</v>
      </c>
      <c r="D26" s="312" t="e">
        <f>IF(CUBEVALUE("KRK HUO2 RH Statistika",CUBEMEMBER("KRK HUO2 RH Statistika","[Godina Podatka].[Godina podatka].&amp;["&amp;#REF!&amp;"]"),CUBEMEMBER("KRK HUO2 RH Statistika","[Measures].[Broj novih osiguranja s jednokratnim plaćanjem premije]"),$B26,Slicer_Učestalost_podatka)="",0,CUBEVALUE("KRK HUO2 RH Statistika",CUBEMEMBER("KRK HUO2 RH Statistika","[Godina Podatka].[Godina podatka].&amp;["&amp;#REF!&amp;"]"),CUBEMEMBER("KRK HUO2 RH Statistika","[Measures].[Broj novih osiguranja s jednokratnim plaćanjem premije]"),$B26,Slicer_Učestalost_podatka))</f>
        <v>#REF!</v>
      </c>
      <c r="E26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premije]"),$B26,Slicer_Učestalost_podatka)="",0,CUBEVALUE("KRK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premije]"),$B26,Slicer_Učestalost_podatka))</f>
        <v>#REF!</v>
      </c>
      <c r="F26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premije]"),$B26,Slicer_Učestalost_podatka)="",0,CUBEVALUE("KRK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premije]"),$B26,Slicer_Učestalost_podatka))</f>
        <v>#REF!</v>
      </c>
    </row>
    <row r="27" spans="1:9" s="309" customFormat="1" ht="24.8" customHeight="1" x14ac:dyDescent="0.3">
      <c r="A27" s="310"/>
      <c r="B27" s="15" t="str" vm="417">
        <f>CUBEMEMBER("KRK HUO2 RH Statistika","[Podvrste osiguranja].[hPodvrsteOsiguranja].[Rizik].&amp;[118]")</f>
        <v>23.03 OSIGURANJE ZA SLUČAJ DOŽIVLJENJA KOD KOJEG OSIGURANIK NA SEBE PREUZIMA INVESTICIJSKI RIZIK</v>
      </c>
      <c r="C27" s="312" t="e">
        <f>IF(CUBEVALUE("KRK HUO2 RH Statistika",CUBEMEMBER("KRK HUO2 RH Statistika","[Godina Podatka].[Godina podatka].&amp;["&amp;#REF!&amp;"]"),CUBEMEMBER("KRK HUO2 RH Statistika","[Measures].[Broj novih osiguranja s višekratnim plaćanjem premije]"),$B27,Slicer_Učestalost_podatka)="",0,CUBEVALUE("KRK HUO2 RH Statistika",CUBEMEMBER("KRK HUO2 RH Statistika","[Godina Podatka].[Godina podatka].&amp;["&amp;#REF!&amp;"]"),CUBEMEMBER("KRK HUO2 RH Statistika","[Measures].[Broj novih osiguranja s višekratnim plaćanjem premije]"),$B27,Slicer_Učestalost_podatka))</f>
        <v>#REF!</v>
      </c>
      <c r="D27" s="312" t="e">
        <f>IF(CUBEVALUE("KRK HUO2 RH Statistika",CUBEMEMBER("KRK HUO2 RH Statistika","[Godina Podatka].[Godina podatka].&amp;["&amp;#REF!&amp;"]"),CUBEMEMBER("KRK HUO2 RH Statistika","[Measures].[Broj novih osiguranja s jednokratnim plaćanjem premije]"),$B27,Slicer_Učestalost_podatka)="",0,CUBEVALUE("KRK HUO2 RH Statistika",CUBEMEMBER("KRK HUO2 RH Statistika","[Godina Podatka].[Godina podatka].&amp;["&amp;#REF!&amp;"]"),CUBEMEMBER("KRK HUO2 RH Statistika","[Measures].[Broj novih osiguranja s jednokratnim plaćanjem premije]"),$B27,Slicer_Učestalost_podatka))</f>
        <v>#REF!</v>
      </c>
      <c r="E27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premije]"),$B27,Slicer_Učestalost_podatka)="",0,CUBEVALUE("KRK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premije]"),$B27,Slicer_Učestalost_podatka))</f>
        <v>#REF!</v>
      </c>
      <c r="F27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premije]"),$B27,Slicer_Učestalost_podatka)="",0,CUBEVALUE("KRK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premije]"),$B27,Slicer_Učestalost_podatka))</f>
        <v>#REF!</v>
      </c>
      <c r="G27" s="310"/>
      <c r="H27" s="310"/>
      <c r="I27" s="310"/>
    </row>
    <row r="28" spans="1:9" s="310" customFormat="1" ht="24.8" customHeight="1" x14ac:dyDescent="0.3">
      <c r="A28" s="309"/>
      <c r="B28" s="15" t="str" vm="411">
        <f>CUBEMEMBER("KRK HUO2 RH Statistika","[Podvrste osiguranja].[hPodvrsteOsiguranja].[Rizik].&amp;[119]")</f>
        <v>23.04 ŽIVOTNO OSIGURANJE KOD KOJEG OSIGURANIK NA SEBE PREUZIMA INVESTICIJSKI RIZIK S GARANCIJOM ISPLATE</v>
      </c>
      <c r="C28" s="312" t="e">
        <f>IF(CUBEVALUE("KRK HUO2 RH Statistika",CUBEMEMBER("KRK HUO2 RH Statistika","[Godina Podatka].[Godina podatka].&amp;["&amp;#REF!&amp;"]"),CUBEMEMBER("KRK HUO2 RH Statistika","[Measures].[Broj novih osiguranja s višekratnim plaćanjem premije]"),$B28,Slicer_Učestalost_podatka)="",0,CUBEVALUE("KRK HUO2 RH Statistika",CUBEMEMBER("KRK HUO2 RH Statistika","[Godina Podatka].[Godina podatka].&amp;["&amp;#REF!&amp;"]"),CUBEMEMBER("KRK HUO2 RH Statistika","[Measures].[Broj novih osiguranja s višekratnim plaćanjem premije]"),$B28,Slicer_Učestalost_podatka))</f>
        <v>#REF!</v>
      </c>
      <c r="D28" s="312" t="e">
        <f>IF(CUBEVALUE("KRK HUO2 RH Statistika",CUBEMEMBER("KRK HUO2 RH Statistika","[Godina Podatka].[Godina podatka].&amp;["&amp;#REF!&amp;"]"),CUBEMEMBER("KRK HUO2 RH Statistika","[Measures].[Broj novih osiguranja s jednokratnim plaćanjem premije]"),$B28,Slicer_Učestalost_podatka)="",0,CUBEVALUE("KRK HUO2 RH Statistika",CUBEMEMBER("KRK HUO2 RH Statistika","[Godina Podatka].[Godina podatka].&amp;["&amp;#REF!&amp;"]"),CUBEMEMBER("KRK HUO2 RH Statistika","[Measures].[Broj novih osiguranja s jednokratnim plaćanjem premije]"),$B28,Slicer_Učestalost_podatka))</f>
        <v>#REF!</v>
      </c>
      <c r="E28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premije]"),$B28,Slicer_Učestalost_podatka)="",0,CUBEVALUE("KRK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premije]"),$B28,Slicer_Učestalost_podatka))</f>
        <v>#REF!</v>
      </c>
      <c r="F28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premije]"),$B28,Slicer_Učestalost_podatka)="",0,CUBEVALUE("KRK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premije]"),$B28,Slicer_Učestalost_podatka))</f>
        <v>#REF!</v>
      </c>
      <c r="G28" s="309"/>
      <c r="H28" s="309"/>
      <c r="I28" s="309"/>
    </row>
    <row r="29" spans="1:9" s="310" customFormat="1" ht="24.8" customHeight="1" thickBot="1" x14ac:dyDescent="0.35">
      <c r="A29" s="309"/>
      <c r="B29" s="15" t="str" vm="406">
        <f>CUBEMEMBER("KRK HUO2 RH Statistika","[Podvrste osiguranja].[hPodvrsteOsiguranja].[Rizik].&amp;[120]")</f>
        <v>23.99 OSTALA ŽIVOTNA OSIGURANJA KOD KOJIH OSIGURANIK NA SEBE PREUZIMA INVESTICIJSKI RIZIK</v>
      </c>
      <c r="C29" s="312" t="e">
        <f>IF(CUBEVALUE("KRK HUO2 RH Statistika",CUBEMEMBER("KRK HUO2 RH Statistika","[Godina Podatka].[Godina podatka].&amp;["&amp;#REF!&amp;"]"),CUBEMEMBER("KRK HUO2 RH Statistika","[Measures].[Broj novih osiguranja s višekratnim plaćanjem premije]"),$B29,Slicer_Učestalost_podatka)="",0,CUBEVALUE("KRK HUO2 RH Statistika",CUBEMEMBER("KRK HUO2 RH Statistika","[Godina Podatka].[Godina podatka].&amp;["&amp;#REF!&amp;"]"),CUBEMEMBER("KRK HUO2 RH Statistika","[Measures].[Broj novih osiguranja s višekratnim plaćanjem premije]"),$B29,Slicer_Učestalost_podatka))</f>
        <v>#REF!</v>
      </c>
      <c r="D29" s="312" t="e">
        <f>IF(CUBEVALUE("KRK HUO2 RH Statistika",CUBEMEMBER("KRK HUO2 RH Statistika","[Godina Podatka].[Godina podatka].&amp;["&amp;#REF!&amp;"]"),CUBEMEMBER("KRK HUO2 RH Statistika","[Measures].[Broj novih osiguranja s jednokratnim plaćanjem premije]"),$B29,Slicer_Učestalost_podatka)="",0,CUBEVALUE("KRK HUO2 RH Statistika",CUBEMEMBER("KRK HUO2 RH Statistika","[Godina Podatka].[Godina podatka].&amp;["&amp;#REF!&amp;"]"),CUBEMEMBER("KRK HUO2 RH Statistika","[Measures].[Broj novih osiguranja s jednokratnim plaćanjem premije]"),$B29,Slicer_Učestalost_podatka))</f>
        <v>#REF!</v>
      </c>
      <c r="E29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premije]"),$B29,Slicer_Učestalost_podatka)="",0,CUBEVALUE("KRK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premije]"),$B29,Slicer_Učestalost_podatka))</f>
        <v>#REF!</v>
      </c>
      <c r="F29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premije]"),$B29,Slicer_Učestalost_podatka)="",0,CUBEVALUE("KRK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premije]"),$B29,Slicer_Učestalost_podatka))</f>
        <v>#REF!</v>
      </c>
      <c r="G29" s="309"/>
      <c r="H29" s="309"/>
      <c r="I29" s="309"/>
    </row>
    <row r="30" spans="1:9" s="310" customFormat="1" ht="24.8" customHeight="1" thickBot="1" x14ac:dyDescent="0.3">
      <c r="B30" s="26" t="str" vm="177">
        <f>CUBEMEMBER("KRK HUO2 RH Statistika","[Rizici].[hSkupineRiziciOsiguranja].[Vrsta osiguranja].&amp;[23]")</f>
        <v>23 ŽIVOTNA ILI RENTNA OSIGURANJA KOD KOJIH OSIGURANIK NA SEBE PREUZIMA INVESTICIJSKI RIZIK</v>
      </c>
      <c r="C30" s="313" t="e">
        <f>SUM(C25:C29)</f>
        <v>#REF!</v>
      </c>
      <c r="D30" s="313" t="e">
        <f t="shared" ref="D30:F30" si="4">SUM(D25:D29)</f>
        <v>#REF!</v>
      </c>
      <c r="E30" s="313" t="e">
        <f t="shared" si="4"/>
        <v>#REF!</v>
      </c>
      <c r="F30" s="313" t="e">
        <f t="shared" si="4"/>
        <v>#REF!</v>
      </c>
    </row>
    <row r="31" spans="1:9" s="310" customFormat="1" ht="24.8" customHeight="1" thickBot="1" x14ac:dyDescent="0.3">
      <c r="B31" s="15" t="str" vm="401">
        <f>CUBEMEMBER("KRK HUO2 RH Statistika","[Podvrste osiguranja].[hPodvrsteOsiguranja].[Rizik].&amp;[121]")</f>
        <v>24.01 TONTINE</v>
      </c>
      <c r="C31" s="312" t="e">
        <f>IF(CUBEVALUE("KRK HUO2 RH Statistika",CUBEMEMBER("KRK HUO2 RH Statistika","[Godina Podatka].[Godina podatka].&amp;["&amp;#REF!&amp;"]"),CUBEMEMBER("KRK HUO2 RH Statistika","[Measures].[Broj novih osiguranja s višekratnim plaćanjem premije]"),$B31,Slicer_Učestalost_podatka)="",0,CUBEVALUE("KRK HUO2 RH Statistika",CUBEMEMBER("KRK HUO2 RH Statistika","[Godina Podatka].[Godina podatka].&amp;["&amp;#REF!&amp;"]"),CUBEMEMBER("KRK HUO2 RH Statistika","[Measures].[Broj novih osiguranja s višekratnim plaćanjem premije]"),$B31,Slicer_Učestalost_podatka))</f>
        <v>#REF!</v>
      </c>
      <c r="D31" s="312" t="e">
        <f>IF(CUBEVALUE("KRK HUO2 RH Statistika",CUBEMEMBER("KRK HUO2 RH Statistika","[Godina Podatka].[Godina podatka].&amp;["&amp;#REF!&amp;"]"),CUBEMEMBER("KRK HUO2 RH Statistika","[Measures].[Broj novih osiguranja s jednokratnim plaćanjem premije]"),$B31,Slicer_Učestalost_podatka)="",0,CUBEVALUE("KRK HUO2 RH Statistika",CUBEMEMBER("KRK HUO2 RH Statistika","[Godina Podatka].[Godina podatka].&amp;["&amp;#REF!&amp;"]"),CUBEMEMBER("KRK HUO2 RH Statistika","[Measures].[Broj novih osiguranja s jednokratnim plaćanjem premije]"),$B31,Slicer_Učestalost_podatka))</f>
        <v>#REF!</v>
      </c>
      <c r="E31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premije]"),$B31,Slicer_Učestalost_podatka)="",0,CUBEVALUE("KRK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premije]"),$B31,Slicer_Učestalost_podatka))</f>
        <v>#REF!</v>
      </c>
      <c r="F31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premije]"),$B31,Slicer_Učestalost_podatka)="",0,CUBEVALUE("KRK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premije]"),$B31,Slicer_Učestalost_podatka))</f>
        <v>#REF!</v>
      </c>
    </row>
    <row r="32" spans="1:9" s="310" customFormat="1" ht="24.8" customHeight="1" thickBot="1" x14ac:dyDescent="0.3">
      <c r="B32" s="26" t="str" vm="174">
        <f>CUBEMEMBER("KRK HUO2 RH Statistika","[Rizici].[hSkupineRiziciOsiguranja].[Vrsta osiguranja].&amp;[24]")</f>
        <v>24 TONTINE</v>
      </c>
      <c r="C32" s="313" t="e">
        <f t="shared" ref="C32:F32" si="5">SUM(C31)</f>
        <v>#REF!</v>
      </c>
      <c r="D32" s="314" t="e">
        <f>SUM(D31)</f>
        <v>#REF!</v>
      </c>
      <c r="E32" s="314" t="e">
        <f>SUM(E31)</f>
        <v>#REF!</v>
      </c>
      <c r="F32" s="314" t="e">
        <f t="shared" si="5"/>
        <v>#REF!</v>
      </c>
    </row>
    <row r="33" spans="1:9" s="309" customFormat="1" ht="24.8" customHeight="1" thickBot="1" x14ac:dyDescent="0.35">
      <c r="A33" s="310"/>
      <c r="B33" s="15" t="str" vm="416">
        <f>CUBEMEMBER("KRK HUO2 RH Statistika","[Podvrste osiguranja].[hPodvrsteOsiguranja].[Rizik].&amp;[122]")</f>
        <v>25.01 OSIGURANJE S KAPITALIZACIJOM ISPLATE</v>
      </c>
      <c r="C33" s="312" t="e">
        <f>IF(CUBEVALUE("KRK HUO2 RH Statistika",CUBEMEMBER("KRK HUO2 RH Statistika","[Godina Podatka].[Godina podatka].&amp;["&amp;#REF!&amp;"]"),CUBEMEMBER("KRK HUO2 RH Statistika","[Measures].[Broj novih osiguranja s višekratnim plaćanjem premije]"),$B33,Slicer_Učestalost_podatka)="",0,CUBEVALUE("KRK HUO2 RH Statistika",CUBEMEMBER("KRK HUO2 RH Statistika","[Godina Podatka].[Godina podatka].&amp;["&amp;#REF!&amp;"]"),CUBEMEMBER("KRK HUO2 RH Statistika","[Measures].[Broj novih osiguranja s višekratnim plaćanjem premije]"),$B33,Slicer_Učestalost_podatka))</f>
        <v>#REF!</v>
      </c>
      <c r="D33" s="312" t="e">
        <f>IF(CUBEVALUE("KRK HUO2 RH Statistika",CUBEMEMBER("KRK HUO2 RH Statistika","[Godina Podatka].[Godina podatka].&amp;["&amp;#REF!&amp;"]"),CUBEMEMBER("KRK HUO2 RH Statistika","[Measures].[Broj novih osiguranja s jednokratnim plaćanjem premije]"),$B33,Slicer_Učestalost_podatka)="",0,CUBEVALUE("KRK HUO2 RH Statistika",CUBEMEMBER("KRK HUO2 RH Statistika","[Godina Podatka].[Godina podatka].&amp;["&amp;#REF!&amp;"]"),CUBEMEMBER("KRK HUO2 RH Statistika","[Measures].[Broj novih osiguranja s jednokratnim plaćanjem premije]"),$B33,Slicer_Učestalost_podatka))</f>
        <v>#REF!</v>
      </c>
      <c r="E33" s="312" t="e">
        <f>IF(CUBEVALUE("KRK HUO2 RH Statistika",CUBEMEMBER("KRK HUO2 RH Statistika","[Godina Podatka].[Godina podatka].&amp;["&amp;#REF!&amp;"]"),CUBEMEMBER("KRK HUO2 RH Statistika","[Measures].[Zaračunata bruto premija novih osiguranja s višekratnim plaćanjem premije]"),$B33,Slicer_Učestalost_podatka)="",0,CUBEVALUE("KRK HUO2 RH Statistika",CUBEMEMBER("KRK HUO2 RH Statistika","[Godina Podatka].[Godina podatka].&amp;["&amp;#REF!&amp;"]"),CUBEMEMBER("KRK HUO2 RH Statistika","[Measures].[Zaračunata bruto premija novih osiguranja s višekratnim plaćanjem premije]"),$B33,Slicer_Učestalost_podatka))</f>
        <v>#REF!</v>
      </c>
      <c r="F33" s="312" t="e">
        <f>IF(CUBEVALUE("KRK HUO2 RH Statistika",CUBEMEMBER("KRK HUO2 RH Statistika","[Godina Podatka].[Godina podatka].&amp;["&amp;#REF!&amp;"]"),CUBEMEMBER("KRK HUO2 RH Statistika","[Measures].[Zaračunata bruto premija novih osiguranja s jednokratnim plaćanjem premije]"),$B33,Slicer_Učestalost_podatka)="",0,CUBEVALUE("KRK HUO2 RH Statistika",CUBEMEMBER("KRK HUO2 RH Statistika","[Godina Podatka].[Godina podatka].&amp;["&amp;#REF!&amp;"]"),CUBEMEMBER("KRK HUO2 RH Statistika","[Measures].[Zaračunata bruto premija novih osiguranja s jednokratnim plaćanjem premije]"),$B33,Slicer_Učestalost_podatka))</f>
        <v>#REF!</v>
      </c>
      <c r="G33" s="310"/>
      <c r="H33" s="310"/>
      <c r="I33" s="310"/>
    </row>
    <row r="34" spans="1:9" s="309" customFormat="1" ht="24.8" customHeight="1" thickBot="1" x14ac:dyDescent="0.35">
      <c r="A34" s="310"/>
      <c r="B34" s="26" t="str" vm="173">
        <f>CUBEMEMBER("KRK HUO2 RH Statistika","[Rizici].[hSkupineRiziciOsiguranja].[Vrsta osiguranja].&amp;[25]")</f>
        <v>25 OSIGURANJE S KAPITALIZACIJOM ISPLATE</v>
      </c>
      <c r="C34" s="313" t="e">
        <f t="shared" ref="C34:F34" si="6">SUM(C33)</f>
        <v>#REF!</v>
      </c>
      <c r="D34" s="314" t="e">
        <f>SUM(D33)</f>
        <v>#REF!</v>
      </c>
      <c r="E34" s="314" t="e">
        <f>SUM(E33)</f>
        <v>#REF!</v>
      </c>
      <c r="F34" s="314" t="e">
        <f t="shared" si="6"/>
        <v>#REF!</v>
      </c>
      <c r="G34" s="310"/>
      <c r="H34" s="310"/>
      <c r="I34" s="310"/>
    </row>
    <row r="35" spans="1:9" s="310" customFormat="1" ht="8.4499999999999993" customHeight="1" x14ac:dyDescent="0.3">
      <c r="A35" s="309"/>
      <c r="B35" s="78"/>
      <c r="C35" s="315"/>
      <c r="D35" s="316"/>
      <c r="E35" s="315"/>
      <c r="F35" s="316"/>
      <c r="G35" s="309"/>
      <c r="H35" s="309"/>
      <c r="I35" s="309"/>
    </row>
    <row r="36" spans="1:9" s="309" customFormat="1" ht="24.8" customHeight="1" x14ac:dyDescent="0.3">
      <c r="B36" s="311" t="s">
        <v>69</v>
      </c>
      <c r="C36" s="317" t="e">
        <f>C14+C18+C22+C24+C30+C32+C34</f>
        <v>#REF!</v>
      </c>
      <c r="D36" s="317" t="e">
        <f t="shared" ref="D36:F36" si="7">D14+D18+D22+D24+D30+D32+D34</f>
        <v>#REF!</v>
      </c>
      <c r="E36" s="317" t="e">
        <f t="shared" si="7"/>
        <v>#REF!</v>
      </c>
      <c r="F36" s="317" t="e">
        <f t="shared" si="7"/>
        <v>#REF!</v>
      </c>
    </row>
    <row r="37" spans="1:9" s="309" customFormat="1" ht="24.8" customHeight="1" x14ac:dyDescent="0.3">
      <c r="A37" s="310"/>
      <c r="B37" s="1"/>
      <c r="C37" s="1"/>
      <c r="D37" s="1"/>
      <c r="E37" s="1"/>
      <c r="F37" s="1"/>
      <c r="G37" s="310"/>
      <c r="H37" s="310"/>
      <c r="I37" s="310"/>
    </row>
    <row r="38" spans="1:9" s="310" customFormat="1" ht="26.45" customHeight="1" x14ac:dyDescent="0.3">
      <c r="A38" s="309"/>
      <c r="B38" s="1"/>
      <c r="C38" s="1"/>
      <c r="D38" s="1"/>
      <c r="E38" s="1"/>
      <c r="F38" s="1"/>
      <c r="G38" s="309"/>
      <c r="H38" s="309"/>
      <c r="I38" s="309"/>
    </row>
    <row r="39" spans="1:9" s="309" customFormat="1" ht="26.45" customHeight="1" x14ac:dyDescent="0.3">
      <c r="B39" s="1"/>
      <c r="C39" s="1"/>
      <c r="D39" s="1"/>
      <c r="E39" s="1"/>
      <c r="F39" s="1"/>
    </row>
    <row r="40" spans="1:9" s="309" customFormat="1" ht="26.45" customHeight="1" x14ac:dyDescent="0.3">
      <c r="A40" s="310"/>
      <c r="B40" s="1"/>
      <c r="C40" s="1"/>
      <c r="D40" s="1"/>
      <c r="E40" s="1"/>
      <c r="F40" s="1"/>
      <c r="G40" s="310"/>
      <c r="H40" s="310"/>
      <c r="I40" s="310"/>
    </row>
    <row r="41" spans="1:9" s="309" customFormat="1" ht="26.45" customHeight="1" x14ac:dyDescent="0.3">
      <c r="B41" s="1"/>
      <c r="C41" s="1"/>
      <c r="D41" s="1"/>
      <c r="E41" s="1"/>
      <c r="F41" s="1"/>
    </row>
    <row r="42" spans="1:9" ht="3.05" customHeight="1" x14ac:dyDescent="0.3">
      <c r="A42" s="309"/>
      <c r="G42" s="309"/>
      <c r="H42" s="309"/>
      <c r="I42" s="309"/>
    </row>
    <row r="43" spans="1:9" ht="28.55" customHeight="1" x14ac:dyDescent="0.3">
      <c r="A43" s="309"/>
      <c r="G43" s="309"/>
      <c r="H43" s="309"/>
      <c r="I43" s="309"/>
    </row>
  </sheetData>
  <mergeCells count="4">
    <mergeCell ref="A1:I1"/>
    <mergeCell ref="A2:I2"/>
    <mergeCell ref="B5:B6"/>
    <mergeCell ref="C5:F5"/>
  </mergeCells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D1" workbookViewId="0">
      <selection activeCell="B8" sqref="B8"/>
    </sheetView>
  </sheetViews>
  <sheetFormatPr defaultRowHeight="14.4" x14ac:dyDescent="0.3"/>
  <cols>
    <col min="1" max="1" width="105.8984375" bestFit="1" customWidth="1"/>
    <col min="2" max="2" width="48.796875" customWidth="1"/>
    <col min="3" max="3" width="47.19921875" bestFit="1" customWidth="1"/>
    <col min="4" max="4" width="67.3984375" bestFit="1" customWidth="1"/>
    <col min="5" max="5" width="65.69921875" bestFit="1" customWidth="1"/>
  </cols>
  <sheetData>
    <row r="2" spans="1:5" x14ac:dyDescent="0.3">
      <c r="A2" t="s">
        <v>113</v>
      </c>
      <c r="B2" t="str" vm="250">
        <f>CUBESET("\\tesla\Home\mpremor\Dokumenti\My Data Sources\hvar HUOBI RH Statistika","{[Učestalost podataka].[Učestalost podatka].&amp;[7],[Učestalost podataka].[Učestalost podatka].&amp;[8]}","(Multiple Items)")</f>
        <v>(Multiple Items)</v>
      </c>
    </row>
    <row r="3" spans="1:5" x14ac:dyDescent="0.3">
      <c r="A3" t="s">
        <v>114</v>
      </c>
      <c r="B3" t="str" vm="284">
        <f>CUBEMEMBER("\\tesla\Home\mpremor\Dokumenti\My Data Sources\hvar HUOBI RH Statistika","[Godina Podatka].[Godina podatka].&amp;[2013]")</f>
        <v>2013</v>
      </c>
    </row>
    <row r="5" spans="1:5" x14ac:dyDescent="0.3">
      <c r="A5" t="s">
        <v>17</v>
      </c>
      <c r="B5" t="str" vm="258">
        <f>CUBEMEMBER("\\tesla\Home\mpremor\Dokumenti\My Data Sources\hvar HUOBI RH Statistika","[Measures].[Broj novih osiguranja s jednokratnim plaćanjem premije]")</f>
        <v>Broj novih osiguranja s jednokratnim plaćanjem premije</v>
      </c>
      <c r="C5" t="str" vm="273">
        <f>CUBEMEMBER("\\tesla\Home\mpremor\Dokumenti\My Data Sources\hvar HUOBI RH Statistika","[Measures].[Broj novih osiguranja s višekratnim plaćanjem premije]")</f>
        <v>Broj novih osiguranja s višekratnim plaćanjem premije</v>
      </c>
      <c r="D5" t="str" vm="268">
        <f>CUBEMEMBER("\\tesla\Home\mpremor\Dokumenti\My Data Sources\hvar HUOBI RH Statistika","[Measures].[Zaračunata bruto premija novih osiguranja s jednokratnim plaćanjem premije]")</f>
        <v>Zaračunata bruto premija novih osiguranja s jednokratnim plaćanjem premije</v>
      </c>
      <c r="E5" t="str" vm="263">
        <f>CUBEMEMBER("\\tesla\Home\mpremor\Dokumenti\My Data Sources\hvar HUOBI RH Statistika","[Measures].[Zaračunata bruto premija novih osiguranja s višekratnim plaćanjem premije]")</f>
        <v>Zaračunata bruto premija novih osiguranja s višekratnim plaćanjem premije</v>
      </c>
    </row>
    <row r="6" spans="1:5" x14ac:dyDescent="0.3">
      <c r="A6" s="2" t="str" vm="280">
        <f>CUBEMEMBER("\\tesla\Home\mpremor\Dokumenti\My Data Sources\hvar HUOBI RH Statistika","[Podvrste osiguranja].[hPodvrsteOsiguranja].[Skupina osiguranja].&amp;[2]")</f>
        <v>Život</v>
      </c>
      <c r="B6" vm="344">
        <f t="shared" ref="B6:E34" si="0">CUBEVALUE("\\tesla\Home\mpremor\Dokumenti\My Data Sources\hvar HUOBI RH Statistika",$B$2,$B$3,$A6,B$5)</f>
        <v>23296</v>
      </c>
      <c r="C6" vm="285">
        <f t="shared" si="0"/>
        <v>105919</v>
      </c>
      <c r="D6" vm="314">
        <f t="shared" si="0"/>
        <v>281045849.30999994</v>
      </c>
      <c r="E6" vm="329">
        <f t="shared" si="0"/>
        <v>66362344.740000002</v>
      </c>
    </row>
    <row r="7" spans="1:5" x14ac:dyDescent="0.3">
      <c r="A7" s="3" t="str" vm="276">
        <f>CUBEMEMBER("\\tesla\Home\mpremor\Dokumenti\My Data Sources\hvar HUOBI RH Statistika","[Podvrste osiguranja].[hPodvrsteOsiguranja].[Vrsta osiguranja].&amp;[19]")</f>
        <v>19 ŽIVOTNO OSIGURANJE</v>
      </c>
      <c r="B7" vm="384">
        <f t="shared" si="0"/>
        <v>19873</v>
      </c>
      <c r="C7" vm="286">
        <f t="shared" si="0"/>
        <v>39730</v>
      </c>
      <c r="D7" vm="356">
        <f t="shared" si="0"/>
        <v>250411978.21999994</v>
      </c>
      <c r="E7" vm="330">
        <f t="shared" si="0"/>
        <v>59481834.790000007</v>
      </c>
    </row>
    <row r="8" spans="1:5" x14ac:dyDescent="0.3">
      <c r="A8" s="5" t="str" vm="257">
        <f>CUBEMEMBER("\\tesla\Home\mpremor\Dokumenti\My Data Sources\hvar HUOBI RH Statistika","[Podvrste osiguranja].[hPodvrsteOsiguranja].[Rizik].&amp;[96]")</f>
        <v>19.01 OSIGURANJE ŽIVOTA ZA SLUČAJ SMRTI I DOŽIVLJENJA (MJEŠOVITO OSIGURANJE)</v>
      </c>
      <c r="B8" vm="345">
        <f t="shared" si="0"/>
        <v>8358</v>
      </c>
      <c r="C8" vm="287">
        <f t="shared" si="0"/>
        <v>28003</v>
      </c>
      <c r="D8" vm="357">
        <f t="shared" si="0"/>
        <v>215004514.97999996</v>
      </c>
      <c r="E8" vm="370">
        <f t="shared" si="0"/>
        <v>50504312.040000014</v>
      </c>
    </row>
    <row r="9" spans="1:5" x14ac:dyDescent="0.3">
      <c r="A9" s="5" t="str" vm="272">
        <f>CUBEMEMBER("\\tesla\Home\mpremor\Dokumenti\My Data Sources\hvar HUOBI RH Statistika","[Podvrste osiguranja].[hPodvrsteOsiguranja].[Rizik].&amp;[97]")</f>
        <v>19.02 OSIGURANJE ZA SLUČAJ SMRTI</v>
      </c>
      <c r="B9" vm="385">
        <f t="shared" si="0"/>
        <v>11348</v>
      </c>
      <c r="C9" vm="288">
        <f t="shared" si="0"/>
        <v>3919</v>
      </c>
      <c r="D9" vm="315">
        <f t="shared" si="0"/>
        <v>28849814.339999992</v>
      </c>
      <c r="E9" vm="331">
        <f t="shared" si="0"/>
        <v>2187085.34</v>
      </c>
    </row>
    <row r="10" spans="1:5" x14ac:dyDescent="0.3">
      <c r="A10" s="5" t="str" vm="267">
        <f>CUBEMEMBER("\\tesla\Home\mpremor\Dokumenti\My Data Sources\hvar HUOBI RH Statistika","[Podvrste osiguranja].[hPodvrsteOsiguranja].[Rizik].&amp;[98]")</f>
        <v>19.03 OSIGURANJE ZA SLUČAJ DOŽIVLJENJA</v>
      </c>
      <c r="B10" vm="386">
        <f t="shared" si="0"/>
        <v>149</v>
      </c>
      <c r="C10" vm="289">
        <f t="shared" si="0"/>
        <v>2790</v>
      </c>
      <c r="D10" vm="358">
        <f t="shared" si="0"/>
        <v>6047492.6300000008</v>
      </c>
      <c r="E10" vm="371">
        <f t="shared" si="0"/>
        <v>4100746.8400000003</v>
      </c>
    </row>
    <row r="11" spans="1:5" x14ac:dyDescent="0.3">
      <c r="A11" s="5" t="str" vm="262">
        <f>CUBEMEMBER("\\tesla\Home\mpremor\Dokumenti\My Data Sources\hvar HUOBI RH Statistika","[Podvrste osiguranja].[hPodvrsteOsiguranja].[Rizik].&amp;[99]")</f>
        <v>19.04 DOŽIVOTNO OSIGURANJE ZA SLUČAJ SMRTI</v>
      </c>
      <c r="B11" vm="346">
        <f t="shared" si="0"/>
        <v>0</v>
      </c>
      <c r="C11" vm="290">
        <f t="shared" si="0"/>
        <v>2652</v>
      </c>
      <c r="D11" vm="316">
        <f t="shared" si="0"/>
        <v>382168.98</v>
      </c>
      <c r="E11" vm="332">
        <f t="shared" si="0"/>
        <v>714313.3600000001</v>
      </c>
    </row>
    <row r="12" spans="1:5" x14ac:dyDescent="0.3">
      <c r="A12" s="5" t="str" vm="256">
        <f>CUBEMEMBER("\\tesla\Home\mpremor\Dokumenti\My Data Sources\hvar HUOBI RH Statistika","[Podvrste osiguranja].[hPodvrsteOsiguranja].[Rizik].&amp;[100]")</f>
        <v>19.05 OSIGURANJE KRITIČNIH BOLESTI</v>
      </c>
      <c r="B12" vm="387">
        <f t="shared" si="0"/>
        <v>7</v>
      </c>
      <c r="C12" vm="291">
        <f t="shared" si="0"/>
        <v>2250</v>
      </c>
      <c r="D12" vm="359">
        <f t="shared" si="0"/>
        <v>107706.29000000001</v>
      </c>
      <c r="E12" vm="372">
        <f t="shared" si="0"/>
        <v>1833061.8</v>
      </c>
    </row>
    <row r="13" spans="1:5" x14ac:dyDescent="0.3">
      <c r="A13" s="5" t="str" vm="283">
        <f>CUBEMEMBER("\\tesla\Home\mpremor\Dokumenti\My Data Sources\hvar HUOBI RH Statistika","[Podvrste osiguranja].[hPodvrsteOsiguranja].[Rizik].&amp;[108]")</f>
        <v>19.99 OSTALA OSIGURANJA ŽIVOTA</v>
      </c>
      <c r="B13" vm="347">
        <f t="shared" si="0"/>
        <v>11</v>
      </c>
      <c r="C13" vm="292">
        <f t="shared" si="0"/>
        <v>116</v>
      </c>
      <c r="D13" vm="317">
        <f t="shared" si="0"/>
        <v>20281</v>
      </c>
      <c r="E13" vm="373">
        <f t="shared" si="0"/>
        <v>142315.41</v>
      </c>
    </row>
    <row r="14" spans="1:5" x14ac:dyDescent="0.3">
      <c r="A14" s="3" t="str" vm="279">
        <f>CUBEMEMBER("\\tesla\Home\mpremor\Dokumenti\My Data Sources\hvar HUOBI RH Statistika","[Podvrste osiguranja].[hPodvrsteOsiguranja].[Vrsta osiguranja].&amp;[20]")</f>
        <v>20 RENTNO OSIGURANJE</v>
      </c>
      <c r="B14" vm="388">
        <f t="shared" si="0"/>
        <v>39</v>
      </c>
      <c r="C14" vm="293">
        <f t="shared" si="0"/>
        <v>21</v>
      </c>
      <c r="D14" vm="360">
        <f t="shared" si="0"/>
        <v>2933530.41</v>
      </c>
      <c r="E14" vm="333">
        <f t="shared" si="0"/>
        <v>601276.92999999993</v>
      </c>
    </row>
    <row r="15" spans="1:5" x14ac:dyDescent="0.3">
      <c r="A15" s="5" t="str" vm="261">
        <f>CUBEMEMBER("\\tesla\Home\mpremor\Dokumenti\My Data Sources\hvar HUOBI RH Statistika","[Podvrste osiguranja].[hPodvrsteOsiguranja].[Rizik].&amp;[109]")</f>
        <v>20.01 OSIGURANJE OSOBNE DOŽIVOTNE RENTE</v>
      </c>
      <c r="B15" vm="348">
        <f t="shared" si="0"/>
        <v>5</v>
      </c>
      <c r="C15" vm="294">
        <f t="shared" si="0"/>
        <v>6</v>
      </c>
      <c r="D15" vm="318">
        <f t="shared" si="0"/>
        <v>1041341.27</v>
      </c>
      <c r="E15" vm="334">
        <f t="shared" si="0"/>
        <v>14613.109999999999</v>
      </c>
    </row>
    <row r="16" spans="1:5" x14ac:dyDescent="0.3">
      <c r="A16" s="5" t="str" vm="255">
        <f>CUBEMEMBER("\\tesla\Home\mpremor\Dokumenti\My Data Sources\hvar HUOBI RH Statistika","[Podvrste osiguranja].[hPodvrsteOsiguranja].[Rizik].&amp;[110]")</f>
        <v>20.02 OSIGURANJE OSOBNE RENTE S ODREĐENIM TRAJANJEM</v>
      </c>
      <c r="B16" vm="389">
        <f t="shared" si="0"/>
        <v>32</v>
      </c>
      <c r="C16" vm="295">
        <f t="shared" si="0"/>
        <v>15</v>
      </c>
      <c r="D16" vm="319">
        <f t="shared" si="0"/>
        <v>1547828.19</v>
      </c>
      <c r="E16" vm="374">
        <f t="shared" si="0"/>
        <v>586663.81999999995</v>
      </c>
    </row>
    <row r="17" spans="1:5" x14ac:dyDescent="0.3">
      <c r="A17" s="5" t="str" vm="271">
        <f>CUBEMEMBER("\\tesla\Home\mpremor\Dokumenti\My Data Sources\hvar HUOBI RH Statistika","[Podvrste osiguranja].[hPodvrsteOsiguranja].[Rizik].&amp;[111]")</f>
        <v>20.99 OSTALA RENTNA OSIGURANJA</v>
      </c>
      <c r="B17" vm="349">
        <f t="shared" si="0"/>
        <v>2</v>
      </c>
      <c r="C17" vm="296">
        <f t="shared" si="0"/>
        <v>0</v>
      </c>
      <c r="D17" vm="361">
        <f t="shared" si="0"/>
        <v>344360.95</v>
      </c>
      <c r="E17" vm="335">
        <f t="shared" si="0"/>
        <v>0</v>
      </c>
    </row>
    <row r="18" spans="1:5" x14ac:dyDescent="0.3">
      <c r="A18" s="3" t="str" vm="266">
        <f>CUBEMEMBER("\\tesla\Home\mpremor\Dokumenti\My Data Sources\hvar HUOBI RH Statistika","[Podvrste osiguranja].[hPodvrsteOsiguranja].[Vrsta osiguranja].&amp;[21]")</f>
        <v>21 DODATNA OSIGURANJA UZ ŽIVOTNO OSIGURANJE</v>
      </c>
      <c r="B18" vm="390">
        <f t="shared" si="0"/>
        <v>2676</v>
      </c>
      <c r="C18" vm="297">
        <f t="shared" si="0"/>
        <v>64728</v>
      </c>
      <c r="D18" vm="320">
        <f t="shared" si="0"/>
        <v>1354583.7099999997</v>
      </c>
      <c r="E18" vm="375">
        <f t="shared" si="0"/>
        <v>4478196.2699999996</v>
      </c>
    </row>
    <row r="19" spans="1:5" x14ac:dyDescent="0.3">
      <c r="A19" s="5" t="str" vm="275">
        <f>CUBEMEMBER("\\tesla\Home\mpremor\Dokumenti\My Data Sources\hvar HUOBI RH Statistika","[Podvrste osiguranja].[hPodvrsteOsiguranja].[Rizik].&amp;[112]")</f>
        <v>21.01 DOPUNSKO OSIGURANJE OD POSLJEDICA NEZGODE UZ OSIGURANJE ŽIVOTA</v>
      </c>
      <c r="B19" vm="350">
        <f t="shared" si="0"/>
        <v>2656</v>
      </c>
      <c r="C19" vm="298">
        <f t="shared" si="0"/>
        <v>42706</v>
      </c>
      <c r="D19" vm="362">
        <f t="shared" si="0"/>
        <v>1317982.4399999997</v>
      </c>
      <c r="E19" vm="336">
        <f t="shared" si="0"/>
        <v>3332155.4499999997</v>
      </c>
    </row>
    <row r="20" spans="1:5" x14ac:dyDescent="0.3">
      <c r="A20" s="5" t="str" vm="254">
        <f>CUBEMEMBER("\\tesla\Home\mpremor\Dokumenti\My Data Sources\hvar HUOBI RH Statistika","[Podvrste osiguranja].[hPodvrsteOsiguranja].[Rizik].&amp;[113]")</f>
        <v>21.02 DOPUNSKO ZDRAVSTVENO OSIGURANJE UZ OSIGURANJE ŽIVOTA</v>
      </c>
      <c r="B20" vm="391">
        <f t="shared" si="0"/>
        <v>0</v>
      </c>
      <c r="C20" vm="299">
        <f t="shared" si="0"/>
        <v>745</v>
      </c>
      <c r="D20" vm="321">
        <f t="shared" si="0"/>
        <v>0</v>
      </c>
      <c r="E20" vm="376">
        <f t="shared" si="0"/>
        <v>269621.26</v>
      </c>
    </row>
    <row r="21" spans="1:5" x14ac:dyDescent="0.3">
      <c r="A21" s="5" t="str" vm="282">
        <f>CUBEMEMBER("\\tesla\Home\mpremor\Dokumenti\My Data Sources\hvar HUOBI RH Statistika","[Podvrste osiguranja].[hPodvrsteOsiguranja].[Rizik].&amp;[114]")</f>
        <v>21.99 OSTALA DOPUNSKA OSIGURANJA UZ OSIGURANJE ŽIVOTA</v>
      </c>
      <c r="B21" vm="392">
        <f t="shared" si="0"/>
        <v>20</v>
      </c>
      <c r="C21" vm="300">
        <f t="shared" si="0"/>
        <v>21277</v>
      </c>
      <c r="D21" vm="363">
        <f t="shared" si="0"/>
        <v>36601.270000000004</v>
      </c>
      <c r="E21" vm="337">
        <f t="shared" si="0"/>
        <v>876419.55999999994</v>
      </c>
    </row>
    <row r="22" spans="1:5" x14ac:dyDescent="0.3">
      <c r="A22" s="3" t="str" vm="278">
        <f>CUBEMEMBER("\\tesla\Home\mpremor\Dokumenti\My Data Sources\hvar HUOBI RH Statistika","[Podvrste osiguranja].[hPodvrsteOsiguranja].[Vrsta osiguranja].&amp;[22]")</f>
        <v>22 OSIGURANJE ZA SLUČAJ VJENČANJA ILI ROĐENJA</v>
      </c>
      <c r="B22" vm="351">
        <f t="shared" si="0"/>
        <v>1</v>
      </c>
      <c r="C22" vm="301">
        <f t="shared" si="0"/>
        <v>41</v>
      </c>
      <c r="D22" vm="322">
        <f t="shared" si="0"/>
        <v>22788</v>
      </c>
      <c r="E22" vm="377">
        <f t="shared" si="0"/>
        <v>63310.64</v>
      </c>
    </row>
    <row r="23" spans="1:5" x14ac:dyDescent="0.3">
      <c r="A23" s="5" t="str" vm="260">
        <f>CUBEMEMBER("\\tesla\Home\mpremor\Dokumenti\My Data Sources\hvar HUOBI RH Statistika","[Podvrste osiguranja].[hPodvrsteOsiguranja].[Rizik].&amp;[115]")</f>
        <v>22.01 OSIGURANJE ZA SLUČAJ VJENČANJA ILI ROĐENJA</v>
      </c>
      <c r="B23" vm="393">
        <f t="shared" si="0"/>
        <v>1</v>
      </c>
      <c r="C23" vm="302">
        <f t="shared" si="0"/>
        <v>41</v>
      </c>
      <c r="D23" vm="364">
        <f t="shared" si="0"/>
        <v>22788</v>
      </c>
      <c r="E23" vm="338">
        <f t="shared" si="0"/>
        <v>63310.64</v>
      </c>
    </row>
    <row r="24" spans="1:5" x14ac:dyDescent="0.3">
      <c r="A24" s="3" t="str" vm="253">
        <f>CUBEMEMBER("\\tesla\Home\mpremor\Dokumenti\My Data Sources\hvar HUOBI RH Statistika","[Podvrste osiguranja].[hPodvrsteOsiguranja].[Vrsta osiguranja].&amp;[23]")</f>
        <v>23 ŽIVOTNA ILI RENTNA OSIGURANJA KOD KOJIH OSIGURANIK NA SEBE PREUZIMA INVESTICIJSKI RIZIK</v>
      </c>
      <c r="B24" vm="352">
        <f t="shared" si="0"/>
        <v>707</v>
      </c>
      <c r="C24" vm="303">
        <f t="shared" si="0"/>
        <v>1399</v>
      </c>
      <c r="D24" vm="323">
        <f t="shared" si="0"/>
        <v>26322968.970000003</v>
      </c>
      <c r="E24" vm="378">
        <f t="shared" si="0"/>
        <v>1737726.1099999999</v>
      </c>
    </row>
    <row r="25" spans="1:5" x14ac:dyDescent="0.3">
      <c r="A25" s="5" t="str" vm="270">
        <f>CUBEMEMBER("\\tesla\Home\mpremor\Dokumenti\My Data Sources\hvar HUOBI RH Statistika","[Podvrste osiguranja].[hPodvrsteOsiguranja].[Rizik].&amp;[116]")</f>
        <v>23.01 OSIG. ŽIVOTA ZA SLUČAJ SMRTI I DOŽIVLJENJA KOD KOJEG OSIGURANIK NA SEBE PREUZIMA INV. RIZIK</v>
      </c>
      <c r="B25" vm="394">
        <f t="shared" si="0"/>
        <v>33</v>
      </c>
      <c r="C25" vm="304">
        <f t="shared" si="0"/>
        <v>605</v>
      </c>
      <c r="D25" vm="365">
        <f t="shared" si="0"/>
        <v>443359.37</v>
      </c>
      <c r="E25" vm="339">
        <f t="shared" si="0"/>
        <v>593215.87</v>
      </c>
    </row>
    <row r="26" spans="1:5" x14ac:dyDescent="0.3">
      <c r="A26" s="5" t="str" vm="265">
        <f>CUBEMEMBER("\\tesla\Home\mpremor\Dokumenti\My Data Sources\hvar HUOBI RH Statistika","[Podvrste osiguranja].[hPodvrsteOsiguranja].[Rizik].&amp;[117]")</f>
        <v>23.02 OSIGURANJE ZA SLUČAJ SMRTI KOD KOJEG OSIGURANIK NA SEBE PREUZIMA INVESTICIJSKI RIZIK</v>
      </c>
      <c r="B26" vm="395">
        <f t="shared" si="0"/>
        <v>0</v>
      </c>
      <c r="C26" vm="305">
        <f t="shared" si="0"/>
        <v>0</v>
      </c>
      <c r="D26" vm="324">
        <f t="shared" si="0"/>
        <v>0</v>
      </c>
      <c r="E26" vm="379">
        <f t="shared" si="0"/>
        <v>0</v>
      </c>
    </row>
    <row r="27" spans="1:5" x14ac:dyDescent="0.3">
      <c r="A27" s="5" t="str" vm="274">
        <f>CUBEMEMBER("\\tesla\Home\mpremor\Dokumenti\My Data Sources\hvar HUOBI RH Statistika","[Podvrste osiguranja].[hPodvrsteOsiguranja].[Rizik].&amp;[118]")</f>
        <v>23.03 OSIGURANJE ZA SLUČAJ DOŽIVLJENJA KOD KOJEG OSIGURANIK NA SEBE PREUZIMA INVESTICIJSKI RIZIK</v>
      </c>
      <c r="B27" vm="353">
        <f t="shared" si="0"/>
        <v>0</v>
      </c>
      <c r="C27" vm="306">
        <f t="shared" si="0"/>
        <v>0</v>
      </c>
      <c r="D27" vm="366">
        <f t="shared" si="0"/>
        <v>0</v>
      </c>
      <c r="E27" vm="340">
        <f t="shared" si="0"/>
        <v>0</v>
      </c>
    </row>
    <row r="28" spans="1:5" x14ac:dyDescent="0.3">
      <c r="A28" s="5" t="str" vm="252">
        <f>CUBEMEMBER("\\tesla\Home\mpremor\Dokumenti\My Data Sources\hvar HUOBI RH Statistika","[Podvrste osiguranja].[hPodvrsteOsiguranja].[Rizik].&amp;[119]")</f>
        <v>23.04 ŽIVOTNO OSIGURANJE KOD KOJEG OSIGURANIK NA SEBE PREUZIMA INVESTICIJSKI RIZIK S GARANCIJOM ISPLATE</v>
      </c>
      <c r="B28" vm="396">
        <f t="shared" si="0"/>
        <v>602</v>
      </c>
      <c r="C28" vm="307">
        <f t="shared" si="0"/>
        <v>0</v>
      </c>
      <c r="D28" vm="325">
        <f t="shared" si="0"/>
        <v>24149228.260000002</v>
      </c>
      <c r="E28" vm="341">
        <f t="shared" si="0"/>
        <v>0</v>
      </c>
    </row>
    <row r="29" spans="1:5" x14ac:dyDescent="0.3">
      <c r="A29" s="5" t="str" vm="281">
        <f>CUBEMEMBER("\\tesla\Home\mpremor\Dokumenti\My Data Sources\hvar HUOBI RH Statistika","[Podvrste osiguranja].[hPodvrsteOsiguranja].[Rizik].&amp;[120]")</f>
        <v>23.99 OSTALA ŽIVOTNA OSIGURANJA KOD KOJIH OSIGURANIK NA SEBE PREUZIMA INVESTICIJSKI RIZIK</v>
      </c>
      <c r="B29" vm="397">
        <f t="shared" si="0"/>
        <v>72</v>
      </c>
      <c r="C29" vm="308">
        <f t="shared" si="0"/>
        <v>794</v>
      </c>
      <c r="D29" vm="367">
        <f t="shared" si="0"/>
        <v>1730381.34</v>
      </c>
      <c r="E29" vm="380">
        <f t="shared" si="0"/>
        <v>1144510.24</v>
      </c>
    </row>
    <row r="30" spans="1:5" x14ac:dyDescent="0.3">
      <c r="A30" s="3" t="str" vm="277">
        <f>CUBEMEMBER("\\tesla\Home\mpremor\Dokumenti\My Data Sources\hvar HUOBI RH Statistika","[Podvrste osiguranja].[hPodvrsteOsiguranja].[Vrsta osiguranja].&amp;[24]")</f>
        <v>24 TONTINE</v>
      </c>
      <c r="B30" vm="354">
        <f t="shared" si="0"/>
        <v>0</v>
      </c>
      <c r="C30" vm="309">
        <f t="shared" si="0"/>
        <v>0</v>
      </c>
      <c r="D30" vm="326">
        <f t="shared" si="0"/>
        <v>0</v>
      </c>
      <c r="E30" vm="342">
        <f t="shared" si="0"/>
        <v>0</v>
      </c>
    </row>
    <row r="31" spans="1:5" x14ac:dyDescent="0.3">
      <c r="A31" s="5" t="str" vm="259">
        <f>CUBEMEMBER("\\tesla\Home\mpremor\Dokumenti\My Data Sources\hvar HUOBI RH Statistika","[Podvrste osiguranja].[hPodvrsteOsiguranja].[Rizik].&amp;[121]")</f>
        <v>24.01 TONTINE</v>
      </c>
      <c r="B31" vm="398">
        <f t="shared" si="0"/>
        <v>0</v>
      </c>
      <c r="C31" vm="310">
        <f t="shared" si="0"/>
        <v>0</v>
      </c>
      <c r="D31" vm="368">
        <f t="shared" si="0"/>
        <v>0</v>
      </c>
      <c r="E31" vm="381">
        <f t="shared" si="0"/>
        <v>0</v>
      </c>
    </row>
    <row r="32" spans="1:5" x14ac:dyDescent="0.3">
      <c r="A32" s="3" t="str" vm="251">
        <f>CUBEMEMBER("\\tesla\Home\mpremor\Dokumenti\My Data Sources\hvar HUOBI RH Statistika","[Podvrste osiguranja].[hPodvrsteOsiguranja].[Vrsta osiguranja].&amp;[25]")</f>
        <v>25 OSIGURANJE S KAPITALIZACIJOM ISPLATE</v>
      </c>
      <c r="B32" vm="399">
        <f t="shared" si="0"/>
        <v>0</v>
      </c>
      <c r="C32" vm="311">
        <f t="shared" si="0"/>
        <v>0</v>
      </c>
      <c r="D32" vm="327">
        <f t="shared" si="0"/>
        <v>0</v>
      </c>
      <c r="E32" vm="382">
        <f t="shared" si="0"/>
        <v>0</v>
      </c>
    </row>
    <row r="33" spans="1:5" x14ac:dyDescent="0.3">
      <c r="A33" s="5" t="str" vm="269">
        <f>CUBEMEMBER("\\tesla\Home\mpremor\Dokumenti\My Data Sources\hvar HUOBI RH Statistika","[Podvrste osiguranja].[hPodvrsteOsiguranja].[Rizik].&amp;[122]")</f>
        <v>25.01 OSIGURANJE S KAPITALIZACIJOM ISPLATE</v>
      </c>
      <c r="B33" vm="400">
        <f t="shared" si="0"/>
        <v>0</v>
      </c>
      <c r="C33" vm="312">
        <f t="shared" si="0"/>
        <v>0</v>
      </c>
      <c r="D33" vm="369">
        <f t="shared" si="0"/>
        <v>0</v>
      </c>
      <c r="E33" vm="343">
        <f t="shared" si="0"/>
        <v>0</v>
      </c>
    </row>
    <row r="34" spans="1:5" x14ac:dyDescent="0.3">
      <c r="A34" s="2" t="str" vm="264">
        <f>CUBEMEMBER("\\tesla\Home\mpremor\Dokumenti\My Data Sources\hvar HUOBI RH Statistika","[Podvrste osiguranja].[hPodvrsteOsiguranja].[Sve]","Grand Total")</f>
        <v>Grand Total</v>
      </c>
      <c r="B34" vm="355">
        <f t="shared" si="0"/>
        <v>23296</v>
      </c>
      <c r="C34" vm="313">
        <f t="shared" si="0"/>
        <v>105919</v>
      </c>
      <c r="D34" vm="328">
        <f t="shared" si="0"/>
        <v>281045849.30999988</v>
      </c>
      <c r="E34" vm="383">
        <f t="shared" si="0"/>
        <v>66362344.74000001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3"/>
  <sheetViews>
    <sheetView workbookViewId="0">
      <selection activeCell="C37" sqref="C37"/>
    </sheetView>
  </sheetViews>
  <sheetFormatPr defaultRowHeight="14.4" x14ac:dyDescent="0.3"/>
  <cols>
    <col min="1" max="1" width="11.5" bestFit="1" customWidth="1"/>
    <col min="2" max="2" width="48.8984375" bestFit="1" customWidth="1"/>
    <col min="3" max="3" width="67.296875" customWidth="1"/>
    <col min="4" max="4" width="16.69921875" customWidth="1"/>
    <col min="5" max="5" width="13.3984375" customWidth="1"/>
    <col min="6" max="6" width="12" bestFit="1" customWidth="1"/>
    <col min="7" max="7" width="10.3984375" bestFit="1" customWidth="1"/>
    <col min="8" max="8" width="11.69921875" customWidth="1"/>
    <col min="9" max="9" width="53.69921875" customWidth="1"/>
    <col min="10" max="10" width="14.59765625" customWidth="1"/>
    <col min="11" max="12" width="10.3984375" customWidth="1"/>
    <col min="13" max="13" width="17" customWidth="1"/>
    <col min="14" max="14" width="14.69921875" customWidth="1"/>
    <col min="15" max="15" width="35.296875" customWidth="1"/>
    <col min="16" max="16" width="20.296875" bestFit="1" customWidth="1"/>
    <col min="17" max="17" width="7.296875" customWidth="1"/>
    <col min="18" max="18" width="29.69921875" customWidth="1"/>
    <col min="19" max="19" width="30.3984375" customWidth="1"/>
    <col min="20" max="20" width="32.69921875" customWidth="1"/>
    <col min="21" max="21" width="17" customWidth="1"/>
    <col min="22" max="22" width="20.296875" customWidth="1"/>
    <col min="23" max="23" width="22.3984375" customWidth="1"/>
    <col min="24" max="24" width="15" customWidth="1"/>
  </cols>
  <sheetData>
    <row r="2" spans="1:2" x14ac:dyDescent="0.3">
      <c r="A2" s="1" t="s">
        <v>16</v>
      </c>
      <c r="B2" s="1" t="s">
        <v>14</v>
      </c>
    </row>
    <row r="3" spans="1:2" x14ac:dyDescent="0.3">
      <c r="A3" s="1">
        <v>4</v>
      </c>
      <c r="B3" s="1" t="s">
        <v>26</v>
      </c>
    </row>
    <row r="4" spans="1:2" x14ac:dyDescent="0.3">
      <c r="A4" s="1">
        <v>5</v>
      </c>
      <c r="B4" s="1" t="s">
        <v>0</v>
      </c>
    </row>
    <row r="5" spans="1:2" x14ac:dyDescent="0.3">
      <c r="A5" s="1">
        <v>6</v>
      </c>
      <c r="B5" s="1" t="s">
        <v>1</v>
      </c>
    </row>
    <row r="6" spans="1:2" x14ac:dyDescent="0.3">
      <c r="A6" s="1">
        <v>7</v>
      </c>
      <c r="B6" s="1" t="s">
        <v>27</v>
      </c>
    </row>
    <row r="7" spans="1:2" x14ac:dyDescent="0.3">
      <c r="A7" s="1">
        <v>8</v>
      </c>
      <c r="B7" s="1" t="s">
        <v>2</v>
      </c>
    </row>
    <row r="8" spans="1:2" x14ac:dyDescent="0.3">
      <c r="A8" s="1">
        <v>9</v>
      </c>
      <c r="B8" s="1" t="s">
        <v>28</v>
      </c>
    </row>
    <row r="9" spans="1:2" x14ac:dyDescent="0.3">
      <c r="A9" s="1">
        <v>10</v>
      </c>
      <c r="B9" s="1" t="s">
        <v>3</v>
      </c>
    </row>
    <row r="10" spans="1:2" x14ac:dyDescent="0.3">
      <c r="A10" s="1">
        <v>11</v>
      </c>
      <c r="B10" s="1" t="s">
        <v>29</v>
      </c>
    </row>
    <row r="11" spans="1:2" x14ac:dyDescent="0.3">
      <c r="A11" s="1">
        <v>12</v>
      </c>
      <c r="B11" s="1" t="s">
        <v>4</v>
      </c>
    </row>
    <row r="12" spans="1:2" x14ac:dyDescent="0.3">
      <c r="A12" s="1">
        <v>13</v>
      </c>
      <c r="B12" s="1" t="s">
        <v>15</v>
      </c>
    </row>
    <row r="13" spans="1:2" x14ac:dyDescent="0.3">
      <c r="A13" s="1">
        <v>14</v>
      </c>
      <c r="B13" s="1" t="s">
        <v>115</v>
      </c>
    </row>
    <row r="14" spans="1:2" x14ac:dyDescent="0.3">
      <c r="A14" s="1">
        <v>15</v>
      </c>
      <c r="B14" s="1" t="s">
        <v>121</v>
      </c>
    </row>
    <row r="15" spans="1:2" x14ac:dyDescent="0.3">
      <c r="A15" s="1">
        <v>16</v>
      </c>
      <c r="B15" s="1" t="s">
        <v>5</v>
      </c>
    </row>
    <row r="16" spans="1:2" x14ac:dyDescent="0.3">
      <c r="A16" s="1">
        <v>17</v>
      </c>
      <c r="B16" s="1" t="s">
        <v>30</v>
      </c>
    </row>
    <row r="17" spans="1:2" x14ac:dyDescent="0.3">
      <c r="A17" s="1">
        <v>18</v>
      </c>
      <c r="B17" s="1" t="s">
        <v>6</v>
      </c>
    </row>
    <row r="18" spans="1:2" x14ac:dyDescent="0.3">
      <c r="A18" s="1">
        <v>19</v>
      </c>
      <c r="B18" s="1" t="s">
        <v>31</v>
      </c>
    </row>
    <row r="19" spans="1:2" x14ac:dyDescent="0.3">
      <c r="A19" s="1">
        <v>20</v>
      </c>
      <c r="B19" s="1" t="s">
        <v>7</v>
      </c>
    </row>
    <row r="20" spans="1:2" x14ac:dyDescent="0.3">
      <c r="A20" s="1">
        <v>21</v>
      </c>
      <c r="B20" s="1" t="s">
        <v>116</v>
      </c>
    </row>
    <row r="21" spans="1:2" x14ac:dyDescent="0.3">
      <c r="A21" s="1">
        <v>22</v>
      </c>
      <c r="B21" s="1" t="s">
        <v>32</v>
      </c>
    </row>
    <row r="22" spans="1:2" x14ac:dyDescent="0.3">
      <c r="A22" s="1">
        <v>23</v>
      </c>
      <c r="B22" s="1" t="s">
        <v>122</v>
      </c>
    </row>
    <row r="23" spans="1:2" x14ac:dyDescent="0.3">
      <c r="A23" s="1">
        <v>24</v>
      </c>
      <c r="B23" s="1" t="s">
        <v>21</v>
      </c>
    </row>
    <row r="24" spans="1:2" x14ac:dyDescent="0.3">
      <c r="A24" s="1">
        <v>25</v>
      </c>
      <c r="B24" s="1" t="s">
        <v>8</v>
      </c>
    </row>
    <row r="25" spans="1:2" x14ac:dyDescent="0.3">
      <c r="A25" s="1">
        <v>26</v>
      </c>
      <c r="B25" s="1" t="s">
        <v>33</v>
      </c>
    </row>
    <row r="26" spans="1:2" x14ac:dyDescent="0.3">
      <c r="A26" s="1">
        <v>27</v>
      </c>
      <c r="B26" s="1" t="s">
        <v>18</v>
      </c>
    </row>
    <row r="27" spans="1:2" x14ac:dyDescent="0.3">
      <c r="A27" s="1">
        <v>28</v>
      </c>
      <c r="B27" s="1" t="s">
        <v>19</v>
      </c>
    </row>
    <row r="28" spans="1:2" x14ac:dyDescent="0.3">
      <c r="A28" s="1">
        <v>29</v>
      </c>
      <c r="B28" s="1" t="s">
        <v>9</v>
      </c>
    </row>
    <row r="29" spans="1:2" x14ac:dyDescent="0.3">
      <c r="A29" s="1">
        <v>30</v>
      </c>
      <c r="B29" s="1" t="s">
        <v>10</v>
      </c>
    </row>
    <row r="30" spans="1:2" x14ac:dyDescent="0.3">
      <c r="A30" s="1">
        <v>31</v>
      </c>
      <c r="B30" s="1" t="s">
        <v>117</v>
      </c>
    </row>
    <row r="31" spans="1:2" x14ac:dyDescent="0.3">
      <c r="A31" s="1">
        <v>32</v>
      </c>
      <c r="B31" s="1" t="s">
        <v>11</v>
      </c>
    </row>
    <row r="32" spans="1:2" x14ac:dyDescent="0.3">
      <c r="A32" s="1">
        <v>33</v>
      </c>
      <c r="B32" s="1" t="s">
        <v>20</v>
      </c>
    </row>
    <row r="33" spans="1:2" x14ac:dyDescent="0.3">
      <c r="A33" s="1">
        <v>34</v>
      </c>
      <c r="B33" s="1" t="s">
        <v>12</v>
      </c>
    </row>
    <row r="34" spans="1:2" x14ac:dyDescent="0.3">
      <c r="A34" s="1">
        <v>35</v>
      </c>
      <c r="B34" s="1" t="s">
        <v>25</v>
      </c>
    </row>
    <row r="35" spans="1:2" x14ac:dyDescent="0.3">
      <c r="A35" s="1">
        <v>36</v>
      </c>
      <c r="B35" s="1" t="s">
        <v>23</v>
      </c>
    </row>
    <row r="36" spans="1:2" x14ac:dyDescent="0.3">
      <c r="A36" s="1">
        <v>37</v>
      </c>
      <c r="B36" s="1" t="s">
        <v>106</v>
      </c>
    </row>
    <row r="37" spans="1:2" x14ac:dyDescent="0.3">
      <c r="A37" s="1">
        <v>38</v>
      </c>
      <c r="B37" s="1" t="s">
        <v>119</v>
      </c>
    </row>
    <row r="38" spans="1:2" x14ac:dyDescent="0.3">
      <c r="A38" s="1">
        <v>39</v>
      </c>
      <c r="B38" s="1" t="s">
        <v>24</v>
      </c>
    </row>
    <row r="39" spans="1:2" x14ac:dyDescent="0.3">
      <c r="A39" s="1">
        <v>40</v>
      </c>
      <c r="B39" s="1" t="s">
        <v>22</v>
      </c>
    </row>
    <row r="40" spans="1:2" x14ac:dyDescent="0.3">
      <c r="A40" s="1">
        <v>41</v>
      </c>
      <c r="B40" s="1" t="s">
        <v>13</v>
      </c>
    </row>
    <row r="41" spans="1:2" x14ac:dyDescent="0.3">
      <c r="A41" s="1">
        <v>42</v>
      </c>
      <c r="B41" s="1" t="s">
        <v>120</v>
      </c>
    </row>
    <row r="42" spans="1:2" x14ac:dyDescent="0.3">
      <c r="A42" s="1">
        <v>43</v>
      </c>
      <c r="B42" s="1" t="s">
        <v>118</v>
      </c>
    </row>
    <row r="43" spans="1:2" x14ac:dyDescent="0.3">
      <c r="A43">
        <v>197</v>
      </c>
      <c r="B43" t="s">
        <v>107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Z38"/>
  <sheetViews>
    <sheetView showGridLines="0" zoomScale="90" zoomScaleNormal="90" workbookViewId="0">
      <selection activeCell="B3" sqref="B3"/>
    </sheetView>
  </sheetViews>
  <sheetFormatPr defaultColWidth="9.296875" defaultRowHeight="14.4" x14ac:dyDescent="0.3"/>
  <cols>
    <col min="1" max="1" width="9.296875" style="8" customWidth="1"/>
    <col min="2" max="2" width="21.69921875" style="8" customWidth="1"/>
    <col min="3" max="4" width="14.69921875" style="69" customWidth="1"/>
    <col min="5" max="5" width="8.69921875" style="70" customWidth="1"/>
    <col min="6" max="7" width="8.69921875" style="69" customWidth="1"/>
    <col min="8" max="9" width="14.69921875" style="69" customWidth="1"/>
    <col min="10" max="12" width="8.69921875" style="69" customWidth="1"/>
    <col min="13" max="14" width="14.69921875" style="70" customWidth="1"/>
    <col min="15" max="15" width="8.69921875" style="70" customWidth="1"/>
    <col min="16" max="17" width="8.69921875" style="69" customWidth="1"/>
    <col min="18" max="18" width="13.69921875" style="70" customWidth="1"/>
    <col min="19" max="20" width="8.296875" style="8" bestFit="1" customWidth="1"/>
    <col min="21" max="22" width="16.69921875" style="69" customWidth="1"/>
    <col min="23" max="23" width="12.59765625" style="70" customWidth="1"/>
    <col min="24" max="25" width="8.296875" style="8" bestFit="1" customWidth="1"/>
    <col min="26" max="26" width="5.69921875" style="8" customWidth="1"/>
    <col min="27" max="16384" width="9.296875" style="8"/>
  </cols>
  <sheetData>
    <row r="1" spans="1:26" s="22" customFormat="1" ht="51.8" customHeight="1" x14ac:dyDescent="0.35">
      <c r="A1" s="336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6" s="22" customFormat="1" ht="20.25" customHeight="1" x14ac:dyDescent="0.3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26" ht="14.95" customHeight="1" x14ac:dyDescent="0.35">
      <c r="F3" s="70"/>
      <c r="G3" s="70"/>
      <c r="J3" s="70"/>
      <c r="K3" s="8"/>
      <c r="L3" s="8"/>
      <c r="M3" s="69"/>
      <c r="N3" s="69"/>
      <c r="P3" s="8"/>
      <c r="Q3" s="8"/>
      <c r="R3" s="8"/>
      <c r="U3" s="8"/>
      <c r="V3" s="8"/>
      <c r="W3" s="8"/>
    </row>
    <row r="4" spans="1:26" ht="14.95" thickBot="1" x14ac:dyDescent="0.4">
      <c r="F4" s="70"/>
      <c r="G4" s="70"/>
      <c r="J4" s="70"/>
      <c r="K4" s="8"/>
      <c r="L4" s="8"/>
      <c r="M4" s="69"/>
      <c r="N4" s="69"/>
      <c r="P4" s="8"/>
      <c r="Q4" s="8"/>
      <c r="R4" s="8"/>
      <c r="U4" s="8"/>
      <c r="V4" s="8"/>
      <c r="W4" s="8"/>
    </row>
    <row r="5" spans="1:26" x14ac:dyDescent="0.3">
      <c r="B5" s="346" t="s">
        <v>39</v>
      </c>
      <c r="C5" s="342" t="s">
        <v>34</v>
      </c>
      <c r="D5" s="342"/>
      <c r="E5" s="342"/>
      <c r="F5" s="342"/>
      <c r="G5" s="342"/>
      <c r="H5" s="342" t="s">
        <v>35</v>
      </c>
      <c r="I5" s="342"/>
      <c r="J5" s="342"/>
      <c r="K5" s="342"/>
      <c r="L5" s="342"/>
      <c r="M5" s="342" t="s">
        <v>36</v>
      </c>
      <c r="N5" s="342"/>
      <c r="O5" s="342"/>
      <c r="P5" s="342"/>
      <c r="Q5" s="343"/>
      <c r="R5" s="8"/>
      <c r="U5" s="8"/>
      <c r="V5" s="8"/>
      <c r="W5" s="8"/>
    </row>
    <row r="6" spans="1:26" ht="14.95" customHeight="1" x14ac:dyDescent="0.3">
      <c r="B6" s="347"/>
      <c r="C6" s="340" t="s">
        <v>37</v>
      </c>
      <c r="D6" s="341"/>
      <c r="E6" s="338" t="s">
        <v>124</v>
      </c>
      <c r="F6" s="338" t="s">
        <v>38</v>
      </c>
      <c r="G6" s="338"/>
      <c r="H6" s="340" t="s">
        <v>37</v>
      </c>
      <c r="I6" s="341"/>
      <c r="J6" s="338" t="s">
        <v>124</v>
      </c>
      <c r="K6" s="344" t="s">
        <v>38</v>
      </c>
      <c r="L6" s="344"/>
      <c r="M6" s="340" t="s">
        <v>37</v>
      </c>
      <c r="N6" s="341"/>
      <c r="O6" s="338" t="s">
        <v>124</v>
      </c>
      <c r="P6" s="344" t="s">
        <v>38</v>
      </c>
      <c r="Q6" s="345"/>
      <c r="R6" s="8"/>
      <c r="U6" s="8"/>
      <c r="V6" s="8"/>
      <c r="W6" s="8"/>
    </row>
    <row r="7" spans="1:26" ht="14.95" thickBot="1" x14ac:dyDescent="0.35">
      <c r="B7" s="348"/>
      <c r="C7" s="23" t="s">
        <v>125</v>
      </c>
      <c r="D7" s="23" t="s">
        <v>126</v>
      </c>
      <c r="E7" s="339"/>
      <c r="F7" s="108">
        <v>2013</v>
      </c>
      <c r="G7" s="108">
        <v>2014</v>
      </c>
      <c r="H7" s="23" t="s">
        <v>125</v>
      </c>
      <c r="I7" s="23" t="s">
        <v>126</v>
      </c>
      <c r="J7" s="339"/>
      <c r="K7" s="101">
        <v>2013</v>
      </c>
      <c r="L7" s="101">
        <v>2014</v>
      </c>
      <c r="M7" s="23" t="s">
        <v>125</v>
      </c>
      <c r="N7" s="23" t="s">
        <v>126</v>
      </c>
      <c r="O7" s="339"/>
      <c r="P7" s="101">
        <v>2013</v>
      </c>
      <c r="Q7" s="57">
        <v>2014</v>
      </c>
      <c r="R7" s="8"/>
      <c r="U7" s="8"/>
      <c r="V7" s="8"/>
      <c r="W7" s="8"/>
    </row>
    <row r="8" spans="1:26" ht="2.35" customHeight="1" thickBot="1" x14ac:dyDescent="0.35">
      <c r="B8" s="60"/>
      <c r="C8" s="99"/>
      <c r="D8" s="99"/>
      <c r="E8" s="98"/>
      <c r="F8" s="55"/>
      <c r="G8" s="55"/>
      <c r="H8" s="99"/>
      <c r="I8" s="99"/>
      <c r="J8" s="98"/>
      <c r="K8" s="100"/>
      <c r="L8" s="100"/>
      <c r="M8" s="99"/>
      <c r="N8" s="99"/>
      <c r="O8" s="98"/>
      <c r="P8" s="100"/>
      <c r="Q8" s="100"/>
      <c r="R8" s="8"/>
      <c r="U8" s="8"/>
      <c r="V8" s="8"/>
      <c r="W8" s="8"/>
    </row>
    <row r="9" spans="1:26" s="70" customFormat="1" ht="23.55" customHeight="1" x14ac:dyDescent="0.3">
      <c r="A9" s="8"/>
      <c r="B9" s="105" t="s" vm="11">
        <v>122</v>
      </c>
      <c r="C9" s="126" vm="747">
        <v>0</v>
      </c>
      <c r="D9" s="130" vm="662">
        <v>0</v>
      </c>
      <c r="E9" s="137" t="s">
        <v>127</v>
      </c>
      <c r="F9" s="131">
        <v>0</v>
      </c>
      <c r="G9" s="132">
        <v>0</v>
      </c>
      <c r="H9" s="126" vm="812">
        <v>138668875.46000004</v>
      </c>
      <c r="I9" s="130" vm="604">
        <v>143337100.63999999</v>
      </c>
      <c r="J9" s="137">
        <v>103.36645491968855</v>
      </c>
      <c r="K9" s="131">
        <v>7.65</v>
      </c>
      <c r="L9" s="132">
        <v>7.6</v>
      </c>
      <c r="M9" s="126" vm="816">
        <v>138668875.46000004</v>
      </c>
      <c r="N9" s="130" vm="580">
        <v>143337100.63999999</v>
      </c>
      <c r="O9" s="137">
        <v>103.36645491968855</v>
      </c>
      <c r="P9" s="131">
        <v>2</v>
      </c>
      <c r="Q9" s="131">
        <v>2.1800000000000002</v>
      </c>
      <c r="S9" s="8"/>
      <c r="T9" s="8"/>
      <c r="U9" s="69"/>
      <c r="V9" s="69"/>
      <c r="X9" s="8"/>
      <c r="Y9" s="8"/>
      <c r="Z9" s="8"/>
    </row>
    <row r="10" spans="1:26" ht="23.55" customHeight="1" x14ac:dyDescent="0.3">
      <c r="B10" s="106" t="s" vm="6">
        <v>2</v>
      </c>
      <c r="C10" s="127" vm="1099">
        <v>571684244.05000007</v>
      </c>
      <c r="D10" s="128" vm="661">
        <v>545503948.01000023</v>
      </c>
      <c r="E10" s="138">
        <v>95.420497186606028</v>
      </c>
      <c r="F10" s="133">
        <v>11.17</v>
      </c>
      <c r="G10" s="134">
        <v>11.67</v>
      </c>
      <c r="H10" s="127" vm="949">
        <v>343071144.07999986</v>
      </c>
      <c r="I10" s="128" vm="657">
        <v>415689663.22000009</v>
      </c>
      <c r="J10" s="138">
        <v>121.16718948623277</v>
      </c>
      <c r="K10" s="133">
        <v>18.920000000000002</v>
      </c>
      <c r="L10" s="134">
        <v>22.03</v>
      </c>
      <c r="M10" s="127" vm="1478">
        <v>914755388.13000107</v>
      </c>
      <c r="N10" s="128" vm="597">
        <v>961193611.23000062</v>
      </c>
      <c r="O10" s="138">
        <v>105.07657278684431</v>
      </c>
      <c r="P10" s="133">
        <v>13.19</v>
      </c>
      <c r="Q10" s="133">
        <v>14.65</v>
      </c>
    </row>
    <row r="11" spans="1:26" ht="23.55" customHeight="1" x14ac:dyDescent="0.3">
      <c r="B11" s="106" t="s" vm="5">
        <v>20</v>
      </c>
      <c r="C11" s="127" vm="1088">
        <v>41494634.359999992</v>
      </c>
      <c r="D11" s="128" vm="531">
        <v>41492002.659999996</v>
      </c>
      <c r="E11" s="138">
        <v>99.993657734209279</v>
      </c>
      <c r="F11" s="133">
        <v>0.81</v>
      </c>
      <c r="G11" s="134">
        <v>0.89</v>
      </c>
      <c r="H11" s="127" vm="1366">
        <v>0</v>
      </c>
      <c r="I11" s="128" vm="668">
        <v>0</v>
      </c>
      <c r="J11" s="138" t="s">
        <v>127</v>
      </c>
      <c r="K11" s="133">
        <v>0</v>
      </c>
      <c r="L11" s="134">
        <v>0</v>
      </c>
      <c r="M11" s="127" vm="1027">
        <v>41494634.359999992</v>
      </c>
      <c r="N11" s="128" vm="600">
        <v>41492002.659999996</v>
      </c>
      <c r="O11" s="138">
        <v>99.993657734209279</v>
      </c>
      <c r="P11" s="133">
        <v>0.6</v>
      </c>
      <c r="Q11" s="133">
        <v>0.63</v>
      </c>
    </row>
    <row r="12" spans="1:26" ht="23.55" customHeight="1" x14ac:dyDescent="0.3">
      <c r="B12" s="106" t="s" vm="15">
        <v>0</v>
      </c>
      <c r="C12" s="127" vm="711">
        <v>1868041848.9700022</v>
      </c>
      <c r="D12" s="128" vm="514">
        <v>1600080712.6199996</v>
      </c>
      <c r="E12" s="138">
        <v>85.655506781191733</v>
      </c>
      <c r="F12" s="133">
        <v>36.479999999999997</v>
      </c>
      <c r="G12" s="134">
        <v>34.24</v>
      </c>
      <c r="H12" s="127" vm="1174">
        <v>245134367.52000004</v>
      </c>
      <c r="I12" s="128" vm="603">
        <v>262960136.81</v>
      </c>
      <c r="J12" s="138">
        <v>107.27183604255148</v>
      </c>
      <c r="K12" s="133">
        <v>13.52</v>
      </c>
      <c r="L12" s="134">
        <v>13.93</v>
      </c>
      <c r="M12" s="127" vm="1278">
        <v>2113176216.4900024</v>
      </c>
      <c r="N12" s="128" vm="546">
        <v>1863040849.430001</v>
      </c>
      <c r="O12" s="138">
        <v>88.16306159855057</v>
      </c>
      <c r="P12" s="133">
        <v>30.48</v>
      </c>
      <c r="Q12" s="133">
        <v>28.4</v>
      </c>
    </row>
    <row r="13" spans="1:26" ht="23.55" customHeight="1" x14ac:dyDescent="0.3">
      <c r="B13" s="106" t="s" vm="20">
        <v>117</v>
      </c>
      <c r="C13" s="127" vm="1392">
        <v>102584867.97999999</v>
      </c>
      <c r="D13" s="128" vm="645">
        <v>135999000</v>
      </c>
      <c r="E13" s="138">
        <v>132.57218406374949</v>
      </c>
      <c r="F13" s="133">
        <v>2</v>
      </c>
      <c r="G13" s="134">
        <v>2.91</v>
      </c>
      <c r="H13" s="127">
        <v>0</v>
      </c>
      <c r="I13" s="128">
        <v>0</v>
      </c>
      <c r="J13" s="138" t="s">
        <v>127</v>
      </c>
      <c r="K13" s="133">
        <v>0</v>
      </c>
      <c r="L13" s="134">
        <v>0</v>
      </c>
      <c r="M13" s="127" vm="1459">
        <v>102584867.97999999</v>
      </c>
      <c r="N13" s="128" vm="544">
        <v>135999000</v>
      </c>
      <c r="O13" s="138">
        <v>132.57218406374949</v>
      </c>
      <c r="P13" s="133">
        <v>1.48</v>
      </c>
      <c r="Q13" s="133">
        <v>2.0699999999999998</v>
      </c>
    </row>
    <row r="14" spans="1:26" ht="23.55" customHeight="1" x14ac:dyDescent="0.3">
      <c r="B14" s="106" t="s" vm="12">
        <v>119</v>
      </c>
      <c r="C14" s="127" vm="751">
        <v>1381607.5799999998</v>
      </c>
      <c r="D14" s="128" vm="495">
        <v>11433708.759999998</v>
      </c>
      <c r="E14" s="138">
        <v>827.56557835329761</v>
      </c>
      <c r="F14" s="133">
        <v>0.03</v>
      </c>
      <c r="G14" s="134">
        <v>0.24</v>
      </c>
      <c r="H14" s="127">
        <v>0</v>
      </c>
      <c r="I14" s="128">
        <v>0</v>
      </c>
      <c r="J14" s="138" t="s">
        <v>127</v>
      </c>
      <c r="K14" s="133">
        <v>0</v>
      </c>
      <c r="L14" s="134">
        <v>0</v>
      </c>
      <c r="M14" s="127" vm="1211">
        <v>1381607.5799999998</v>
      </c>
      <c r="N14" s="128" vm="446">
        <v>11433708.759999998</v>
      </c>
      <c r="O14" s="138">
        <v>827.56557835329761</v>
      </c>
      <c r="P14" s="133">
        <v>0.02</v>
      </c>
      <c r="Q14" s="133">
        <v>0.17</v>
      </c>
    </row>
    <row r="15" spans="1:26" ht="23.55" customHeight="1" x14ac:dyDescent="0.3">
      <c r="B15" s="106" t="s" vm="7">
        <v>106</v>
      </c>
      <c r="C15" s="127" vm="1329">
        <v>0</v>
      </c>
      <c r="D15" s="128">
        <v>0</v>
      </c>
      <c r="E15" s="138" t="s">
        <v>127</v>
      </c>
      <c r="F15" s="133">
        <v>0</v>
      </c>
      <c r="G15" s="134">
        <v>0</v>
      </c>
      <c r="H15" s="127" vm="1544">
        <v>13886565.510000002</v>
      </c>
      <c r="I15" s="128" vm="484">
        <v>1078013.3199999998</v>
      </c>
      <c r="J15" s="138">
        <v>7.7629945231864586</v>
      </c>
      <c r="K15" s="133">
        <v>0.77</v>
      </c>
      <c r="L15" s="134">
        <v>0.06</v>
      </c>
      <c r="M15" s="127" vm="713">
        <v>13886565.510000002</v>
      </c>
      <c r="N15" s="128" vm="432">
        <v>1078013.3199999998</v>
      </c>
      <c r="O15" s="138">
        <v>7.7629945231864586</v>
      </c>
      <c r="P15" s="133">
        <v>0.2</v>
      </c>
      <c r="Q15" s="133">
        <v>0.02</v>
      </c>
    </row>
    <row r="16" spans="1:26" ht="23.55" customHeight="1" x14ac:dyDescent="0.3">
      <c r="B16" s="106" t="s" vm="4">
        <v>11</v>
      </c>
      <c r="C16" s="127">
        <v>0</v>
      </c>
      <c r="D16" s="128">
        <v>0</v>
      </c>
      <c r="E16" s="138" t="s">
        <v>127</v>
      </c>
      <c r="F16" s="133">
        <v>0</v>
      </c>
      <c r="G16" s="134">
        <v>0</v>
      </c>
      <c r="H16" s="127" vm="1362">
        <v>113120412.22000003</v>
      </c>
      <c r="I16" s="128" vm="664">
        <v>108338755.99000001</v>
      </c>
      <c r="J16" s="138">
        <v>95.772950136797135</v>
      </c>
      <c r="K16" s="133">
        <v>6.24</v>
      </c>
      <c r="L16" s="134">
        <v>5.74</v>
      </c>
      <c r="M16" s="127" vm="1231">
        <v>113120412.22000003</v>
      </c>
      <c r="N16" s="128" vm="548">
        <v>108338755.99000001</v>
      </c>
      <c r="O16" s="138">
        <v>95.772950136797135</v>
      </c>
      <c r="P16" s="133">
        <v>1.63</v>
      </c>
      <c r="Q16" s="133">
        <v>1.65</v>
      </c>
    </row>
    <row r="17" spans="2:17" ht="23.55" customHeight="1" x14ac:dyDescent="0.3">
      <c r="B17" s="106" t="s" vm="18">
        <v>4</v>
      </c>
      <c r="C17" s="127" vm="1447">
        <v>704762622.42999995</v>
      </c>
      <c r="D17" s="128" vm="601">
        <v>648051298.81999981</v>
      </c>
      <c r="E17" s="138">
        <v>91.953131195513578</v>
      </c>
      <c r="F17" s="133">
        <v>13.76</v>
      </c>
      <c r="G17" s="134">
        <v>13.87</v>
      </c>
      <c r="H17" s="127" vm="1146">
        <v>0</v>
      </c>
      <c r="I17" s="128" vm="639">
        <v>0</v>
      </c>
      <c r="J17" s="138" t="s">
        <v>127</v>
      </c>
      <c r="K17" s="133">
        <v>0</v>
      </c>
      <c r="L17" s="134">
        <v>0</v>
      </c>
      <c r="M17" s="127" vm="814">
        <v>704762622.42999995</v>
      </c>
      <c r="N17" s="128" vm="656">
        <v>648051298.81999981</v>
      </c>
      <c r="O17" s="138">
        <v>91.953131195513578</v>
      </c>
      <c r="P17" s="133">
        <v>10.17</v>
      </c>
      <c r="Q17" s="133">
        <v>9.8800000000000008</v>
      </c>
    </row>
    <row r="18" spans="2:17" ht="23.55" customHeight="1" x14ac:dyDescent="0.3">
      <c r="B18" s="106" t="s" vm="22">
        <v>10</v>
      </c>
      <c r="C18" s="127" vm="837">
        <v>180830281.85000005</v>
      </c>
      <c r="D18" s="128" vm="642">
        <v>197828349.72999981</v>
      </c>
      <c r="E18" s="138">
        <v>109.40001182661419</v>
      </c>
      <c r="F18" s="133">
        <v>3.53</v>
      </c>
      <c r="G18" s="134">
        <v>4.2300000000000004</v>
      </c>
      <c r="H18" s="127" vm="1643">
        <v>88291084.170000017</v>
      </c>
      <c r="I18" s="128" vm="599">
        <v>83370230.939999998</v>
      </c>
      <c r="J18" s="138">
        <v>94.426557022988675</v>
      </c>
      <c r="K18" s="133">
        <v>4.87</v>
      </c>
      <c r="L18" s="134">
        <v>4.42</v>
      </c>
      <c r="M18" s="127" vm="1561">
        <v>269121366.01999992</v>
      </c>
      <c r="N18" s="128" vm="584">
        <v>281198580.66999984</v>
      </c>
      <c r="O18" s="138">
        <v>104.48764616076689</v>
      </c>
      <c r="P18" s="133">
        <v>3.88</v>
      </c>
      <c r="Q18" s="133">
        <v>4.29</v>
      </c>
    </row>
    <row r="19" spans="2:17" ht="23.55" customHeight="1" x14ac:dyDescent="0.3">
      <c r="B19" s="106" t="s" vm="10">
        <v>5</v>
      </c>
      <c r="C19" s="127" vm="852">
        <v>107432295.44999994</v>
      </c>
      <c r="D19" s="128" vm="658">
        <v>114124191.29000007</v>
      </c>
      <c r="E19" s="138">
        <v>106.22894243483292</v>
      </c>
      <c r="F19" s="133">
        <v>2.1</v>
      </c>
      <c r="G19" s="134">
        <v>2.44</v>
      </c>
      <c r="H19" s="127" vm="1388">
        <v>173622476.25000003</v>
      </c>
      <c r="I19" s="128" vm="640">
        <v>172843231.75000003</v>
      </c>
      <c r="J19" s="138">
        <v>99.551184548895648</v>
      </c>
      <c r="K19" s="133">
        <v>9.58</v>
      </c>
      <c r="L19" s="134">
        <v>9.16</v>
      </c>
      <c r="M19" s="127" vm="732">
        <v>281054771.70000005</v>
      </c>
      <c r="N19" s="128" vm="660">
        <v>286967423.03999984</v>
      </c>
      <c r="O19" s="138">
        <v>102.10373633019509</v>
      </c>
      <c r="P19" s="133">
        <v>4.05</v>
      </c>
      <c r="Q19" s="133">
        <v>4.37</v>
      </c>
    </row>
    <row r="20" spans="2:17" ht="23.55" customHeight="1" x14ac:dyDescent="0.3">
      <c r="B20" s="106" t="s" vm="24">
        <v>9</v>
      </c>
      <c r="C20" s="127" vm="1484">
        <v>149600639.26999995</v>
      </c>
      <c r="D20" s="128" vm="583">
        <v>139094197.04999998</v>
      </c>
      <c r="E20" s="138">
        <v>92.977007136287767</v>
      </c>
      <c r="F20" s="133">
        <v>2.92</v>
      </c>
      <c r="G20" s="134">
        <v>2.98</v>
      </c>
      <c r="H20" s="127">
        <v>0</v>
      </c>
      <c r="I20" s="128">
        <v>0</v>
      </c>
      <c r="J20" s="138" t="s">
        <v>127</v>
      </c>
      <c r="K20" s="133">
        <v>0</v>
      </c>
      <c r="L20" s="134">
        <v>0</v>
      </c>
      <c r="M20" s="127" vm="909">
        <v>149600639.26999995</v>
      </c>
      <c r="N20" s="128" vm="561">
        <v>139094197.04999998</v>
      </c>
      <c r="O20" s="138">
        <v>92.977007136287767</v>
      </c>
      <c r="P20" s="133">
        <v>2.16</v>
      </c>
      <c r="Q20" s="133">
        <v>2.12</v>
      </c>
    </row>
    <row r="21" spans="2:17" ht="23.55" customHeight="1" x14ac:dyDescent="0.3">
      <c r="B21" s="106" t="s" vm="14">
        <v>22</v>
      </c>
      <c r="C21" s="127" vm="925">
        <v>6371659.7000000002</v>
      </c>
      <c r="D21" s="128" vm="622">
        <v>7773879.5500000007</v>
      </c>
      <c r="E21" s="138">
        <v>122.00713653932272</v>
      </c>
      <c r="F21" s="133">
        <v>0.12</v>
      </c>
      <c r="G21" s="134">
        <v>0.17</v>
      </c>
      <c r="H21" s="127">
        <v>0</v>
      </c>
      <c r="I21" s="128">
        <v>0</v>
      </c>
      <c r="J21" s="138" t="s">
        <v>127</v>
      </c>
      <c r="K21" s="133">
        <v>0</v>
      </c>
      <c r="L21" s="134">
        <v>0</v>
      </c>
      <c r="M21" s="127" vm="1291">
        <v>6371659.7000000002</v>
      </c>
      <c r="N21" s="128" vm="663">
        <v>7773879.5500000007</v>
      </c>
      <c r="O21" s="138">
        <v>122.00713653932272</v>
      </c>
      <c r="P21" s="133">
        <v>0.09</v>
      </c>
      <c r="Q21" s="133">
        <v>0.12</v>
      </c>
    </row>
    <row r="22" spans="2:17" ht="23.55" customHeight="1" x14ac:dyDescent="0.3">
      <c r="B22" s="106" t="s" vm="9">
        <v>13</v>
      </c>
      <c r="C22" s="127" vm="1204">
        <v>27226792.519999996</v>
      </c>
      <c r="D22" s="128" vm="667">
        <v>31427327.040000014</v>
      </c>
      <c r="E22" s="138">
        <v>115.42794479707601</v>
      </c>
      <c r="F22" s="133">
        <v>0.53</v>
      </c>
      <c r="G22" s="134">
        <v>0.67</v>
      </c>
      <c r="H22" s="127">
        <v>0</v>
      </c>
      <c r="I22" s="128">
        <v>0</v>
      </c>
      <c r="J22" s="138" t="s">
        <v>127</v>
      </c>
      <c r="K22" s="133">
        <v>0</v>
      </c>
      <c r="L22" s="134">
        <v>0</v>
      </c>
      <c r="M22" s="127" vm="827">
        <v>27226792.519999996</v>
      </c>
      <c r="N22" s="128" vm="623">
        <v>31427327.040000014</v>
      </c>
      <c r="O22" s="138">
        <v>115.42794479707601</v>
      </c>
      <c r="P22" s="133">
        <v>0.39</v>
      </c>
      <c r="Q22" s="133">
        <v>0.48</v>
      </c>
    </row>
    <row r="23" spans="2:17" ht="23.55" customHeight="1" x14ac:dyDescent="0.3">
      <c r="B23" s="106" t="s" vm="3">
        <v>3</v>
      </c>
      <c r="C23" s="127" vm="1184">
        <v>455995865.20999992</v>
      </c>
      <c r="D23" s="128" vm="621">
        <v>412713247.67999995</v>
      </c>
      <c r="E23" s="138">
        <v>90.508111842183709</v>
      </c>
      <c r="F23" s="133">
        <v>8.91</v>
      </c>
      <c r="G23" s="134">
        <v>8.83</v>
      </c>
      <c r="H23" s="127" vm="715">
        <v>0</v>
      </c>
      <c r="I23" s="128" vm="647">
        <v>0</v>
      </c>
      <c r="J23" s="138" t="s">
        <v>127</v>
      </c>
      <c r="K23" s="133">
        <v>0</v>
      </c>
      <c r="L23" s="134">
        <v>0</v>
      </c>
      <c r="M23" s="127" vm="961">
        <v>455995865.20999992</v>
      </c>
      <c r="N23" s="128" vm="665">
        <v>412713247.67999995</v>
      </c>
      <c r="O23" s="138">
        <v>90.508111842183709</v>
      </c>
      <c r="P23" s="133">
        <v>6.58</v>
      </c>
      <c r="Q23" s="133">
        <v>6.29</v>
      </c>
    </row>
    <row r="24" spans="2:17" ht="23.55" customHeight="1" x14ac:dyDescent="0.3">
      <c r="B24" s="106" t="s" vm="17">
        <v>23</v>
      </c>
      <c r="C24" s="127" vm="1510">
        <v>0</v>
      </c>
      <c r="D24" s="128" vm="598">
        <v>0</v>
      </c>
      <c r="E24" s="138" t="s">
        <v>127</v>
      </c>
      <c r="F24" s="133">
        <v>0</v>
      </c>
      <c r="G24" s="134">
        <v>0</v>
      </c>
      <c r="H24" s="127" vm="1542">
        <v>10031192.720000001</v>
      </c>
      <c r="I24" s="128" vm="624">
        <v>11172310.389999999</v>
      </c>
      <c r="J24" s="138">
        <v>111.37569281990625</v>
      </c>
      <c r="K24" s="133">
        <v>0.55000000000000004</v>
      </c>
      <c r="L24" s="134">
        <v>0.59</v>
      </c>
      <c r="M24" s="127" vm="1560">
        <v>10031192.720000001</v>
      </c>
      <c r="N24" s="128" vm="644">
        <v>11172310.389999999</v>
      </c>
      <c r="O24" s="138">
        <v>111.37569281990625</v>
      </c>
      <c r="P24" s="133">
        <v>0.14000000000000001</v>
      </c>
      <c r="Q24" s="133">
        <v>0.17</v>
      </c>
    </row>
    <row r="25" spans="2:17" ht="23.55" customHeight="1" x14ac:dyDescent="0.3">
      <c r="B25" s="106" t="s" vm="19">
        <v>6</v>
      </c>
      <c r="C25" s="127" vm="1051">
        <v>21790064.719999991</v>
      </c>
      <c r="D25" s="128" vm="518">
        <v>20442508.270000018</v>
      </c>
      <c r="E25" s="138">
        <v>93.815729933270362</v>
      </c>
      <c r="F25" s="133">
        <v>0.43</v>
      </c>
      <c r="G25" s="134">
        <v>0.44</v>
      </c>
      <c r="H25" s="127" vm="857">
        <v>174955208</v>
      </c>
      <c r="I25" s="128" vm="585">
        <v>170983198.85000002</v>
      </c>
      <c r="J25" s="138">
        <v>97.729699392543949</v>
      </c>
      <c r="K25" s="133">
        <v>9.65</v>
      </c>
      <c r="L25" s="134">
        <v>9.06</v>
      </c>
      <c r="M25" s="127" vm="985">
        <v>196745272.72000003</v>
      </c>
      <c r="N25" s="128" vm="643">
        <v>191425707.11999995</v>
      </c>
      <c r="O25" s="138">
        <v>97.296216815551816</v>
      </c>
      <c r="P25" s="133">
        <v>2.84</v>
      </c>
      <c r="Q25" s="133">
        <v>2.92</v>
      </c>
    </row>
    <row r="26" spans="2:17" ht="23.55" customHeight="1" x14ac:dyDescent="0.3">
      <c r="B26" s="106" t="s" vm="2">
        <v>24</v>
      </c>
      <c r="C26" s="127" vm="736">
        <v>0</v>
      </c>
      <c r="D26" s="128" vm="536">
        <v>0</v>
      </c>
      <c r="E26" s="138" t="s">
        <v>127</v>
      </c>
      <c r="F26" s="133">
        <v>0</v>
      </c>
      <c r="G26" s="134">
        <v>0</v>
      </c>
      <c r="H26" s="127" vm="794">
        <v>32012497.200000003</v>
      </c>
      <c r="I26" s="128" vm="564">
        <v>29584634.740000002</v>
      </c>
      <c r="J26" s="138">
        <v>92.415891691198652</v>
      </c>
      <c r="K26" s="133">
        <v>1.77</v>
      </c>
      <c r="L26" s="134">
        <v>1.57</v>
      </c>
      <c r="M26" s="127" vm="862">
        <v>32012497.200000003</v>
      </c>
      <c r="N26" s="128" vm="534">
        <v>29584634.740000002</v>
      </c>
      <c r="O26" s="138">
        <v>92.415891691198652</v>
      </c>
      <c r="P26" s="133">
        <v>0.46</v>
      </c>
      <c r="Q26" s="133">
        <v>0.45</v>
      </c>
    </row>
    <row r="27" spans="2:17" ht="23.55" customHeight="1" x14ac:dyDescent="0.3">
      <c r="B27" s="106" t="s" vm="23">
        <v>7</v>
      </c>
      <c r="C27" s="127" vm="1041">
        <v>96010522.049999997</v>
      </c>
      <c r="D27" s="128" vm="619">
        <v>37918988.999999993</v>
      </c>
      <c r="E27" s="138">
        <v>39.494618079727431</v>
      </c>
      <c r="F27" s="133">
        <v>1.88</v>
      </c>
      <c r="G27" s="134">
        <v>0.81</v>
      </c>
      <c r="H27" s="127" vm="724">
        <v>0</v>
      </c>
      <c r="I27" s="128" vm="535">
        <v>0</v>
      </c>
      <c r="J27" s="138" t="s">
        <v>127</v>
      </c>
      <c r="K27" s="133">
        <v>0</v>
      </c>
      <c r="L27" s="134">
        <v>0</v>
      </c>
      <c r="M27" s="127" vm="1054">
        <v>96010522.049999997</v>
      </c>
      <c r="N27" s="128" vm="620">
        <v>37918988.999999993</v>
      </c>
      <c r="O27" s="138">
        <v>39.494618079727431</v>
      </c>
      <c r="P27" s="133">
        <v>1.38</v>
      </c>
      <c r="Q27" s="133">
        <v>0.57999999999999996</v>
      </c>
    </row>
    <row r="28" spans="2:17" ht="23.55" customHeight="1" x14ac:dyDescent="0.3">
      <c r="B28" s="106" t="s" vm="13">
        <v>1</v>
      </c>
      <c r="C28" s="127" vm="1162">
        <v>232389470.62999997</v>
      </c>
      <c r="D28" s="128" vm="521">
        <v>205980588.40999997</v>
      </c>
      <c r="E28" s="138">
        <v>88.635938561068869</v>
      </c>
      <c r="F28" s="133">
        <v>4.54</v>
      </c>
      <c r="G28" s="134">
        <v>4.41</v>
      </c>
      <c r="H28" s="127" vm="1007">
        <v>48887220.859999999</v>
      </c>
      <c r="I28" s="128" vm="512">
        <v>45835385.979999997</v>
      </c>
      <c r="J28" s="138">
        <v>93.757397482790765</v>
      </c>
      <c r="K28" s="133">
        <v>2.7</v>
      </c>
      <c r="L28" s="134">
        <v>2.4300000000000002</v>
      </c>
      <c r="M28" s="127" vm="790">
        <v>281276691.49000001</v>
      </c>
      <c r="N28" s="128" vm="524">
        <v>251815974.38999984</v>
      </c>
      <c r="O28" s="138">
        <v>89.526072372389393</v>
      </c>
      <c r="P28" s="133">
        <v>4.0599999999999996</v>
      </c>
      <c r="Q28" s="133">
        <v>3.84</v>
      </c>
    </row>
    <row r="29" spans="2:17" ht="23.55" customHeight="1" x14ac:dyDescent="0.3">
      <c r="B29" s="106" t="s" vm="8">
        <v>8</v>
      </c>
      <c r="C29" s="127">
        <v>277591362.30000001</v>
      </c>
      <c r="D29" s="128" vm="659">
        <v>257975229.16000006</v>
      </c>
      <c r="E29" s="138">
        <v>92.933449737963997</v>
      </c>
      <c r="F29" s="133">
        <v>5.42</v>
      </c>
      <c r="G29" s="134">
        <v>5.52</v>
      </c>
      <c r="H29" s="127">
        <v>217290154.44999999</v>
      </c>
      <c r="I29" s="128" vm="625">
        <v>209430679.05000007</v>
      </c>
      <c r="J29" s="138">
        <v>96.382958344388101</v>
      </c>
      <c r="K29" s="133">
        <v>11.99</v>
      </c>
      <c r="L29" s="134">
        <v>11.1</v>
      </c>
      <c r="M29" s="127">
        <v>494881516.75000006</v>
      </c>
      <c r="N29" s="128" vm="646">
        <v>467405908.21000016</v>
      </c>
      <c r="O29" s="138">
        <v>94.448043095155683</v>
      </c>
      <c r="P29" s="133">
        <v>7.14</v>
      </c>
      <c r="Q29" s="133">
        <v>7.12</v>
      </c>
    </row>
    <row r="30" spans="2:17" ht="23.55" customHeight="1" x14ac:dyDescent="0.3">
      <c r="B30" s="106" t="s" vm="1">
        <v>12</v>
      </c>
      <c r="C30" s="127" vm="902">
        <v>53893115.199999981</v>
      </c>
      <c r="D30" s="128" vm="582">
        <v>44203457.729999967</v>
      </c>
      <c r="E30" s="138">
        <v>82.020602382992294</v>
      </c>
      <c r="F30" s="133">
        <v>1.05</v>
      </c>
      <c r="G30" s="134">
        <v>0.95</v>
      </c>
      <c r="H30" s="127">
        <v>0</v>
      </c>
      <c r="I30" s="128">
        <v>0</v>
      </c>
      <c r="J30" s="138" t="s">
        <v>127</v>
      </c>
      <c r="K30" s="133">
        <v>0</v>
      </c>
      <c r="L30" s="134">
        <v>0</v>
      </c>
      <c r="M30" s="127" vm="903">
        <v>53893115.199999981</v>
      </c>
      <c r="N30" s="128" vm="581">
        <v>44203457.729999967</v>
      </c>
      <c r="O30" s="138">
        <v>82.020602382992294</v>
      </c>
      <c r="P30" s="133">
        <v>0.78</v>
      </c>
      <c r="Q30" s="133">
        <v>0.67</v>
      </c>
    </row>
    <row r="31" spans="2:17" ht="23.55" customHeight="1" x14ac:dyDescent="0.3">
      <c r="B31" s="106" t="s" vm="16">
        <v>25</v>
      </c>
      <c r="C31" s="127">
        <v>0</v>
      </c>
      <c r="D31" s="128">
        <v>0</v>
      </c>
      <c r="E31" s="138" t="s">
        <v>127</v>
      </c>
      <c r="F31" s="133">
        <v>0</v>
      </c>
      <c r="G31" s="134">
        <v>0</v>
      </c>
      <c r="H31" s="127" vm="792">
        <v>11015176.749999998</v>
      </c>
      <c r="I31" s="128" vm="602">
        <v>14060378.530000003</v>
      </c>
      <c r="J31" s="138">
        <v>127.64550990977068</v>
      </c>
      <c r="K31" s="133">
        <v>0.61</v>
      </c>
      <c r="L31" s="134">
        <v>0.75</v>
      </c>
      <c r="M31" s="127" vm="1483">
        <v>11015176.749999998</v>
      </c>
      <c r="N31" s="128" vm="641">
        <v>14060378.530000003</v>
      </c>
      <c r="O31" s="138">
        <v>127.64550990977068</v>
      </c>
      <c r="P31" s="133">
        <v>0.16</v>
      </c>
      <c r="Q31" s="133">
        <v>0.21</v>
      </c>
    </row>
    <row r="32" spans="2:17" ht="23.55" customHeight="1" x14ac:dyDescent="0.3">
      <c r="B32" s="106" t="s" vm="21">
        <v>116</v>
      </c>
      <c r="C32" s="127" vm="1546">
        <v>221134652.7299999</v>
      </c>
      <c r="D32" s="128" vm="527">
        <v>221531249.82999995</v>
      </c>
      <c r="E32" s="138">
        <v>100.17934642766473</v>
      </c>
      <c r="F32" s="133">
        <v>4.32</v>
      </c>
      <c r="G32" s="134">
        <v>4.74</v>
      </c>
      <c r="H32" s="127" vm="829">
        <v>192040299.47999996</v>
      </c>
      <c r="I32" s="128" vm="648">
        <v>202810934.13</v>
      </c>
      <c r="J32" s="138">
        <v>105.60852835533187</v>
      </c>
      <c r="K32" s="133">
        <v>10.59</v>
      </c>
      <c r="L32" s="134">
        <v>10.75</v>
      </c>
      <c r="M32" s="127" vm="1147">
        <v>413174952.20999986</v>
      </c>
      <c r="N32" s="128" vm="666">
        <v>424342183.95999968</v>
      </c>
      <c r="O32" s="138">
        <v>102.70278527056595</v>
      </c>
      <c r="P32" s="133">
        <v>5.96</v>
      </c>
      <c r="Q32" s="133">
        <v>6.47</v>
      </c>
    </row>
    <row r="33" spans="2:17" ht="23.55" customHeight="1" thickBot="1" x14ac:dyDescent="0.35">
      <c r="B33" s="107" t="s" vm="249">
        <v>107</v>
      </c>
      <c r="C33" s="318">
        <v>0</v>
      </c>
      <c r="D33" s="319">
        <v>0</v>
      </c>
      <c r="E33" s="320" t="s">
        <v>127</v>
      </c>
      <c r="F33" s="321">
        <v>0</v>
      </c>
      <c r="G33" s="322">
        <v>0</v>
      </c>
      <c r="H33" s="318" vm="725">
        <v>10825703.059999999</v>
      </c>
      <c r="I33" s="319" vm="422">
        <v>15648429.580000002</v>
      </c>
      <c r="J33" s="320">
        <v>144.54885279293819</v>
      </c>
      <c r="K33" s="321">
        <v>0.6</v>
      </c>
      <c r="L33" s="322">
        <v>0.83</v>
      </c>
      <c r="M33" s="318" vm="1634">
        <v>10825703.059999999</v>
      </c>
      <c r="N33" s="319" vm="487">
        <v>15648429.580000002</v>
      </c>
      <c r="O33" s="320">
        <v>144.54885279293819</v>
      </c>
      <c r="P33" s="321">
        <v>0.16</v>
      </c>
      <c r="Q33" s="321">
        <v>0.24</v>
      </c>
    </row>
    <row r="34" spans="2:17" ht="2.35" customHeight="1" x14ac:dyDescent="0.3">
      <c r="B34" s="103"/>
      <c r="C34" s="102"/>
      <c r="D34" s="102"/>
      <c r="E34" s="139"/>
      <c r="F34" s="135"/>
      <c r="G34" s="135"/>
      <c r="H34" s="141"/>
      <c r="I34" s="141"/>
      <c r="J34" s="139"/>
      <c r="K34" s="135"/>
      <c r="L34" s="135"/>
      <c r="M34" s="141"/>
      <c r="N34" s="141"/>
      <c r="O34" s="139"/>
      <c r="P34" s="135"/>
      <c r="Q34" s="135"/>
    </row>
    <row r="35" spans="2:17" ht="23" customHeight="1" x14ac:dyDescent="0.3">
      <c r="B35" s="104" t="s" vm="248">
        <v>128</v>
      </c>
      <c r="C35" s="129" vm="1127">
        <v>5120216547.000001</v>
      </c>
      <c r="D35" s="129" vm="508">
        <v>4673573885.6099987</v>
      </c>
      <c r="E35" s="140">
        <v>91.276879458317126</v>
      </c>
      <c r="F35" s="136">
        <v>100</v>
      </c>
      <c r="G35" s="136">
        <v>100.01</v>
      </c>
      <c r="H35" s="129" vm="965">
        <v>1812852377.73</v>
      </c>
      <c r="I35" s="129" vm="538">
        <v>1887143083.9200003</v>
      </c>
      <c r="J35" s="140">
        <v>104.09800086883108</v>
      </c>
      <c r="K35" s="136">
        <v>100.00999999999999</v>
      </c>
      <c r="L35" s="136">
        <v>100.02000000000001</v>
      </c>
      <c r="M35" s="129" vm="738">
        <v>6933068924.7300034</v>
      </c>
      <c r="N35" s="129" vm="545">
        <v>6560716969.5300007</v>
      </c>
      <c r="O35" s="140">
        <v>94.629334292756894</v>
      </c>
      <c r="P35" s="136">
        <v>99.999999999999986</v>
      </c>
      <c r="Q35" s="136">
        <v>99.990000000000023</v>
      </c>
    </row>
    <row r="36" spans="2:17" ht="21.75" customHeight="1" x14ac:dyDescent="0.3">
      <c r="B36" s="365" t="s">
        <v>292</v>
      </c>
      <c r="C36" s="71"/>
      <c r="D36" s="71"/>
      <c r="E36" s="72"/>
      <c r="F36" s="110"/>
      <c r="G36" s="110"/>
    </row>
    <row r="37" spans="2:17" x14ac:dyDescent="0.3">
      <c r="B37" s="110"/>
      <c r="C37" s="71"/>
      <c r="D37" s="71"/>
      <c r="E37" s="72"/>
      <c r="F37" s="110"/>
      <c r="G37" s="110"/>
    </row>
    <row r="38" spans="2:17" x14ac:dyDescent="0.3">
      <c r="B38" s="110"/>
      <c r="C38" s="71"/>
      <c r="D38" s="71"/>
      <c r="E38" s="72"/>
      <c r="F38" s="110"/>
      <c r="G38" s="110"/>
    </row>
  </sheetData>
  <sortState ref="B9:Q35">
    <sortCondition ref="B9"/>
  </sortState>
  <mergeCells count="15">
    <mergeCell ref="A1:R1"/>
    <mergeCell ref="A2:R2"/>
    <mergeCell ref="F6:G6"/>
    <mergeCell ref="E6:E7"/>
    <mergeCell ref="C6:D6"/>
    <mergeCell ref="M5:Q5"/>
    <mergeCell ref="H5:L5"/>
    <mergeCell ref="C5:G5"/>
    <mergeCell ref="K6:L6"/>
    <mergeCell ref="M6:N6"/>
    <mergeCell ref="O6:O7"/>
    <mergeCell ref="P6:Q6"/>
    <mergeCell ref="J6:J7"/>
    <mergeCell ref="H6:I6"/>
    <mergeCell ref="B5:B7"/>
  </mergeCells>
  <conditionalFormatting sqref="U9:U104857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{0C430695-11C9-483C-ABE6-D4564109D5D1}</x14:id>
        </ext>
      </extLst>
    </cfRule>
  </conditionalFormatting>
  <conditionalFormatting sqref="V9:V104857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{1B5C341E-EA11-4EE8-B35C-4D991B2D10BF}</x14:id>
        </ext>
      </extLst>
    </cfRule>
  </conditionalFormatting>
  <conditionalFormatting sqref="M1:M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{E618F87C-5897-46F4-8A15-4D003FFA3A58}</x14:id>
        </ext>
      </extLst>
    </cfRule>
  </conditionalFormatting>
  <conditionalFormatting sqref="N1:N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{C7361D8F-E6CA-4FAB-AF69-FBFCAD78DDFA}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430695-11C9-483C-ABE6-D4564109D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U9:U1048576</xm:sqref>
        </x14:conditionalFormatting>
        <x14:conditionalFormatting xmlns:xm="http://schemas.microsoft.com/office/excel/2006/main">
          <x14:cfRule type="dataBar" id="{1B5C341E-EA11-4EE8-B35C-4D991B2D10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V9:V1048576</xm:sqref>
        </x14:conditionalFormatting>
        <x14:conditionalFormatting xmlns:xm="http://schemas.microsoft.com/office/excel/2006/main">
          <x14:cfRule type="dataBar" id="{E618F87C-5897-46F4-8A15-4D003FFA3A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M1:M8</xm:sqref>
        </x14:conditionalFormatting>
        <x14:conditionalFormatting xmlns:xm="http://schemas.microsoft.com/office/excel/2006/main">
          <x14:cfRule type="dataBar" id="{C7361D8F-E6CA-4FAB-AF69-FBFCAD78DD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N1:N8</xm:sqref>
        </x14:conditionalFormatting>
        <x14:conditionalFormatting xmlns:xm="http://schemas.microsoft.com/office/excel/2006/main">
          <x14:cfRule type="iconSet" priority="25" id="{3D88E064-D5C5-4B92-A07D-F520AD6E8B3D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W9:W1048576</xm:sqref>
        </x14:conditionalFormatting>
        <x14:conditionalFormatting xmlns:xm="http://schemas.microsoft.com/office/excel/2006/main">
          <x14:cfRule type="iconSet" priority="3" id="{B6BD1FCB-D337-443A-A23A-4A5660B78559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O1:O8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133"/>
  <sheetViews>
    <sheetView showGridLines="0" zoomScale="90" zoomScaleNormal="90" workbookViewId="0">
      <selection activeCell="A2" sqref="A2:R2"/>
    </sheetView>
  </sheetViews>
  <sheetFormatPr defaultColWidth="9.296875" defaultRowHeight="14.4" x14ac:dyDescent="0.3"/>
  <cols>
    <col min="1" max="1" width="9.296875" style="8" customWidth="1"/>
    <col min="2" max="2" width="21.69921875" style="64" customWidth="1"/>
    <col min="3" max="4" width="14.69921875" style="69" customWidth="1"/>
    <col min="5" max="7" width="8.69921875" style="69" customWidth="1"/>
    <col min="8" max="9" width="14.69921875" style="69" customWidth="1"/>
    <col min="10" max="12" width="8.69921875" style="69" customWidth="1"/>
    <col min="13" max="13" width="14.69921875" style="70" customWidth="1"/>
    <col min="14" max="14" width="14.69921875" style="8" customWidth="1"/>
    <col min="15" max="15" width="8.69921875" style="8" customWidth="1"/>
    <col min="16" max="17" width="8.69921875" style="69" customWidth="1"/>
    <col min="18" max="18" width="13.59765625" style="8" customWidth="1"/>
    <col min="19" max="19" width="12.69921875" style="8" customWidth="1"/>
    <col min="20" max="20" width="12.3984375" style="8" customWidth="1"/>
    <col min="21" max="21" width="13.69921875" style="8" customWidth="1"/>
    <col min="22" max="22" width="13.59765625" style="8" customWidth="1"/>
    <col min="23" max="23" width="13.69921875" style="70" customWidth="1"/>
    <col min="24" max="24" width="14.69921875" style="8" customWidth="1"/>
    <col min="25" max="25" width="14.3984375" style="8" customWidth="1"/>
    <col min="26" max="26" width="5.69921875" style="8" customWidth="1"/>
    <col min="27" max="16384" width="9.296875" style="8"/>
  </cols>
  <sheetData>
    <row r="1" spans="1:23" s="22" customFormat="1" ht="58.85" customHeight="1" x14ac:dyDescent="0.35">
      <c r="A1" s="336" t="s">
        <v>290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3" s="22" customFormat="1" ht="13.15" x14ac:dyDescent="0.3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23" ht="14.95" customHeight="1" x14ac:dyDescent="0.3">
      <c r="E3" s="70"/>
      <c r="F3" s="8"/>
      <c r="G3" s="8"/>
      <c r="J3" s="8"/>
      <c r="K3" s="8"/>
      <c r="L3" s="8"/>
      <c r="M3" s="8"/>
      <c r="O3" s="70"/>
      <c r="P3" s="8"/>
      <c r="Q3" s="8"/>
      <c r="W3" s="8"/>
    </row>
    <row r="4" spans="1:23" ht="14.95" thickBot="1" x14ac:dyDescent="0.35">
      <c r="E4" s="70"/>
      <c r="F4" s="8"/>
      <c r="G4" s="8"/>
      <c r="J4" s="8"/>
      <c r="K4" s="8"/>
      <c r="L4" s="8"/>
      <c r="M4" s="8"/>
      <c r="O4" s="70"/>
      <c r="P4" s="8"/>
      <c r="Q4" s="8"/>
      <c r="W4" s="8"/>
    </row>
    <row r="5" spans="1:23" s="62" customFormat="1" x14ac:dyDescent="0.3">
      <c r="B5" s="346" t="s">
        <v>39</v>
      </c>
      <c r="C5" s="342" t="s">
        <v>34</v>
      </c>
      <c r="D5" s="342"/>
      <c r="E5" s="342"/>
      <c r="F5" s="342"/>
      <c r="G5" s="342"/>
      <c r="H5" s="342" t="s">
        <v>35</v>
      </c>
      <c r="I5" s="342"/>
      <c r="J5" s="342"/>
      <c r="K5" s="342"/>
      <c r="L5" s="342"/>
      <c r="M5" s="342" t="s">
        <v>36</v>
      </c>
      <c r="N5" s="342"/>
      <c r="O5" s="342"/>
      <c r="P5" s="342"/>
      <c r="Q5" s="343"/>
    </row>
    <row r="6" spans="1:23" s="62" customFormat="1" ht="14.95" customHeight="1" x14ac:dyDescent="0.3">
      <c r="B6" s="347"/>
      <c r="C6" s="340" t="s">
        <v>41</v>
      </c>
      <c r="D6" s="340"/>
      <c r="E6" s="338" t="s">
        <v>124</v>
      </c>
      <c r="F6" s="344" t="s">
        <v>38</v>
      </c>
      <c r="G6" s="344"/>
      <c r="H6" s="340" t="s">
        <v>41</v>
      </c>
      <c r="I6" s="340"/>
      <c r="J6" s="344" t="s">
        <v>124</v>
      </c>
      <c r="K6" s="344" t="s">
        <v>38</v>
      </c>
      <c r="L6" s="344"/>
      <c r="M6" s="340" t="s">
        <v>41</v>
      </c>
      <c r="N6" s="340"/>
      <c r="O6" s="338" t="s">
        <v>124</v>
      </c>
      <c r="P6" s="344" t="s">
        <v>38</v>
      </c>
      <c r="Q6" s="345"/>
    </row>
    <row r="7" spans="1:23" s="62" customFormat="1" ht="12.05" customHeight="1" thickBot="1" x14ac:dyDescent="0.35">
      <c r="B7" s="348"/>
      <c r="C7" s="23" t="s">
        <v>125</v>
      </c>
      <c r="D7" s="23" t="s">
        <v>126</v>
      </c>
      <c r="E7" s="339"/>
      <c r="F7" s="101">
        <v>2013</v>
      </c>
      <c r="G7" s="101">
        <v>2014</v>
      </c>
      <c r="H7" s="23" t="s">
        <v>125</v>
      </c>
      <c r="I7" s="23" t="s">
        <v>126</v>
      </c>
      <c r="J7" s="349"/>
      <c r="K7" s="101">
        <v>2013</v>
      </c>
      <c r="L7" s="101">
        <v>2014</v>
      </c>
      <c r="M7" s="101" t="s">
        <v>125</v>
      </c>
      <c r="N7" s="101" t="s">
        <v>126</v>
      </c>
      <c r="O7" s="339"/>
      <c r="P7" s="101">
        <v>2013</v>
      </c>
      <c r="Q7" s="57">
        <v>2014</v>
      </c>
    </row>
    <row r="8" spans="1:23" ht="2.35" customHeight="1" thickBot="1" x14ac:dyDescent="0.35">
      <c r="B8" s="111"/>
      <c r="C8" s="113"/>
      <c r="D8" s="113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113"/>
      <c r="P8" s="113"/>
      <c r="Q8" s="113"/>
      <c r="W8" s="8"/>
    </row>
    <row r="9" spans="1:23" ht="23.55" customHeight="1" thickTop="1" x14ac:dyDescent="0.3">
      <c r="B9" s="114" t="s" vm="11">
        <v>122</v>
      </c>
      <c r="C9" s="145" vm="712">
        <v>0</v>
      </c>
      <c r="D9" s="145" vm="503">
        <v>0</v>
      </c>
      <c r="E9" s="146" t="s">
        <v>127</v>
      </c>
      <c r="F9" s="149">
        <v>0</v>
      </c>
      <c r="G9" s="150">
        <v>0</v>
      </c>
      <c r="H9" s="145" vm="864">
        <v>84193</v>
      </c>
      <c r="I9" s="145" vm="539">
        <v>77521</v>
      </c>
      <c r="J9" s="146">
        <v>92.075350682360764</v>
      </c>
      <c r="K9" s="149">
        <v>5.87</v>
      </c>
      <c r="L9" s="150">
        <v>5.24</v>
      </c>
      <c r="M9" s="145" vm="735">
        <v>84193</v>
      </c>
      <c r="N9" s="145" vm="649">
        <v>77521</v>
      </c>
      <c r="O9" s="146">
        <v>92.075350682360764</v>
      </c>
      <c r="P9" s="154">
        <v>1.28</v>
      </c>
      <c r="Q9" s="154">
        <v>1.1200000000000001</v>
      </c>
      <c r="W9" s="8"/>
    </row>
    <row r="10" spans="1:23" ht="23.55" customHeight="1" x14ac:dyDescent="0.3">
      <c r="B10" s="115" t="s" vm="6">
        <v>2</v>
      </c>
      <c r="C10" s="142" vm="914">
        <v>548406</v>
      </c>
      <c r="D10" s="142" vm="499">
        <v>558786</v>
      </c>
      <c r="E10" s="147">
        <v>101.8927582849203</v>
      </c>
      <c r="F10" s="151">
        <v>10.7</v>
      </c>
      <c r="G10" s="152">
        <v>10.24</v>
      </c>
      <c r="H10" s="142" vm="954">
        <v>315447</v>
      </c>
      <c r="I10" s="142" vm="438">
        <v>357559</v>
      </c>
      <c r="J10" s="147">
        <v>113.34994468167395</v>
      </c>
      <c r="K10" s="151">
        <v>21.98</v>
      </c>
      <c r="L10" s="152">
        <v>24.15</v>
      </c>
      <c r="M10" s="142" vm="811">
        <v>863853</v>
      </c>
      <c r="N10" s="142" vm="517">
        <v>916345</v>
      </c>
      <c r="O10" s="147">
        <v>106.07649681137879</v>
      </c>
      <c r="P10" s="155">
        <v>13.17</v>
      </c>
      <c r="Q10" s="155">
        <v>13.2</v>
      </c>
      <c r="W10" s="8"/>
    </row>
    <row r="11" spans="1:23" ht="23.55" customHeight="1" x14ac:dyDescent="0.3">
      <c r="B11" s="115" t="s" vm="5">
        <v>20</v>
      </c>
      <c r="C11" s="142" vm="981">
        <v>11025</v>
      </c>
      <c r="D11" s="142" vm="523">
        <v>20003</v>
      </c>
      <c r="E11" s="147">
        <v>181.43310657596373</v>
      </c>
      <c r="F11" s="151">
        <v>0.21</v>
      </c>
      <c r="G11" s="152">
        <v>0.37</v>
      </c>
      <c r="H11" s="142" vm="1302">
        <v>0</v>
      </c>
      <c r="I11" s="142" vm="554">
        <v>0</v>
      </c>
      <c r="J11" s="147" t="s">
        <v>127</v>
      </c>
      <c r="K11" s="151">
        <v>0</v>
      </c>
      <c r="L11" s="152">
        <v>0</v>
      </c>
      <c r="M11" s="142" vm="756">
        <v>11025</v>
      </c>
      <c r="N11" s="142" vm="532">
        <v>20003</v>
      </c>
      <c r="O11" s="147">
        <v>181.43310657596373</v>
      </c>
      <c r="P11" s="155">
        <v>0.17</v>
      </c>
      <c r="Q11" s="155">
        <v>0.28999999999999998</v>
      </c>
      <c r="W11" s="8"/>
    </row>
    <row r="12" spans="1:23" ht="23.55" customHeight="1" x14ac:dyDescent="0.3">
      <c r="B12" s="115" t="s" vm="15">
        <v>0</v>
      </c>
      <c r="C12" s="142" vm="964">
        <v>1799336</v>
      </c>
      <c r="D12" s="142" vm="577">
        <v>1711963</v>
      </c>
      <c r="E12" s="147">
        <v>95.144153176505114</v>
      </c>
      <c r="F12" s="151">
        <v>35.1</v>
      </c>
      <c r="G12" s="152">
        <v>31.36</v>
      </c>
      <c r="H12" s="142" vm="960">
        <v>167487</v>
      </c>
      <c r="I12" s="142" vm="576">
        <v>163502</v>
      </c>
      <c r="J12" s="147">
        <v>97.620710861141461</v>
      </c>
      <c r="K12" s="151">
        <v>11.67</v>
      </c>
      <c r="L12" s="152">
        <v>11.05</v>
      </c>
      <c r="M12" s="142" vm="836">
        <v>1966823</v>
      </c>
      <c r="N12" s="142" vm="563">
        <v>1875465</v>
      </c>
      <c r="O12" s="147">
        <v>95.355047200485259</v>
      </c>
      <c r="P12" s="155">
        <v>29.98</v>
      </c>
      <c r="Q12" s="155">
        <v>27.03</v>
      </c>
      <c r="W12" s="8"/>
    </row>
    <row r="13" spans="1:23" ht="23.55" customHeight="1" x14ac:dyDescent="0.3">
      <c r="B13" s="115" t="s" vm="20">
        <v>117</v>
      </c>
      <c r="C13" s="142" vm="1197">
        <v>32850</v>
      </c>
      <c r="D13" s="142" vm="578">
        <v>43739</v>
      </c>
      <c r="E13" s="147">
        <v>133.14764079147642</v>
      </c>
      <c r="F13" s="151">
        <v>0.64</v>
      </c>
      <c r="G13" s="152">
        <v>0.8</v>
      </c>
      <c r="H13" s="142">
        <v>0</v>
      </c>
      <c r="I13" s="142">
        <v>0</v>
      </c>
      <c r="J13" s="147" t="s">
        <v>127</v>
      </c>
      <c r="K13" s="151">
        <v>0</v>
      </c>
      <c r="L13" s="152">
        <v>0</v>
      </c>
      <c r="M13" s="142" vm="1389">
        <v>32850</v>
      </c>
      <c r="N13" s="142" vm="579">
        <v>43739</v>
      </c>
      <c r="O13" s="147">
        <v>133.14764079147642</v>
      </c>
      <c r="P13" s="155">
        <v>0.5</v>
      </c>
      <c r="Q13" s="155">
        <v>0.63</v>
      </c>
      <c r="W13" s="8"/>
    </row>
    <row r="14" spans="1:23" ht="23.55" customHeight="1" x14ac:dyDescent="0.3">
      <c r="B14" s="115" t="s" vm="12">
        <v>119</v>
      </c>
      <c r="C14" s="142" vm="1200">
        <v>2930</v>
      </c>
      <c r="D14" s="142" vm="506">
        <v>12516</v>
      </c>
      <c r="E14" s="147">
        <v>427.16723549488052</v>
      </c>
      <c r="F14" s="151">
        <v>0.06</v>
      </c>
      <c r="G14" s="152">
        <v>0.23</v>
      </c>
      <c r="H14" s="142">
        <v>0</v>
      </c>
      <c r="I14" s="142">
        <v>0</v>
      </c>
      <c r="J14" s="147" t="s">
        <v>127</v>
      </c>
      <c r="K14" s="151">
        <v>0</v>
      </c>
      <c r="L14" s="152">
        <v>0</v>
      </c>
      <c r="M14" s="142" vm="748">
        <v>2930</v>
      </c>
      <c r="N14" s="142" vm="575">
        <v>12516</v>
      </c>
      <c r="O14" s="147">
        <v>427.16723549488052</v>
      </c>
      <c r="P14" s="155">
        <v>0.05</v>
      </c>
      <c r="Q14" s="155">
        <v>0.18</v>
      </c>
      <c r="W14" s="8"/>
    </row>
    <row r="15" spans="1:23" ht="23.55" customHeight="1" x14ac:dyDescent="0.3">
      <c r="B15" s="115" t="s" vm="7">
        <v>106</v>
      </c>
      <c r="C15" s="142" vm="1073">
        <v>0</v>
      </c>
      <c r="D15" s="142">
        <v>0</v>
      </c>
      <c r="E15" s="147" t="s">
        <v>127</v>
      </c>
      <c r="F15" s="151">
        <v>0</v>
      </c>
      <c r="G15" s="152">
        <v>0</v>
      </c>
      <c r="H15" s="142" vm="910">
        <v>14883</v>
      </c>
      <c r="I15" s="142" vm="493">
        <v>13944</v>
      </c>
      <c r="J15" s="147">
        <v>93.69078814755089</v>
      </c>
      <c r="K15" s="151">
        <v>1.04</v>
      </c>
      <c r="L15" s="152">
        <v>0.94</v>
      </c>
      <c r="M15" s="142" vm="1455">
        <v>14883</v>
      </c>
      <c r="N15" s="142" vm="609">
        <v>13944</v>
      </c>
      <c r="O15" s="147">
        <v>93.69078814755089</v>
      </c>
      <c r="P15" s="155">
        <v>0.23</v>
      </c>
      <c r="Q15" s="155">
        <v>0.2</v>
      </c>
      <c r="W15" s="8"/>
    </row>
    <row r="16" spans="1:23" ht="23.55" customHeight="1" x14ac:dyDescent="0.3">
      <c r="B16" s="115" t="s" vm="4">
        <v>11</v>
      </c>
      <c r="C16" s="142">
        <v>0</v>
      </c>
      <c r="D16" s="142">
        <v>0</v>
      </c>
      <c r="E16" s="147" t="s">
        <v>127</v>
      </c>
      <c r="F16" s="151">
        <v>0</v>
      </c>
      <c r="G16" s="152">
        <v>0</v>
      </c>
      <c r="H16" s="142" vm="813">
        <v>64595</v>
      </c>
      <c r="I16" s="142" vm="492">
        <v>65326</v>
      </c>
      <c r="J16" s="147">
        <v>101.13166653765771</v>
      </c>
      <c r="K16" s="151">
        <v>4.5</v>
      </c>
      <c r="L16" s="152">
        <v>4.41</v>
      </c>
      <c r="M16" s="142" vm="861">
        <v>64595</v>
      </c>
      <c r="N16" s="142" vm="504">
        <v>65326</v>
      </c>
      <c r="O16" s="147">
        <v>101.13166653765771</v>
      </c>
      <c r="P16" s="155">
        <v>0.99</v>
      </c>
      <c r="Q16" s="155">
        <v>0.94</v>
      </c>
      <c r="W16" s="8"/>
    </row>
    <row r="17" spans="2:23" ht="23.55" customHeight="1" x14ac:dyDescent="0.3">
      <c r="B17" s="115" t="s" vm="18">
        <v>4</v>
      </c>
      <c r="C17" s="142" vm="1093">
        <v>773431</v>
      </c>
      <c r="D17" s="142" vm="543">
        <v>923661</v>
      </c>
      <c r="E17" s="147">
        <v>119.42384000641297</v>
      </c>
      <c r="F17" s="151">
        <v>15.09</v>
      </c>
      <c r="G17" s="152">
        <v>16.920000000000002</v>
      </c>
      <c r="H17" s="142" vm="1350">
        <v>0</v>
      </c>
      <c r="I17" s="142" vm="572">
        <v>0</v>
      </c>
      <c r="J17" s="147" t="s">
        <v>127</v>
      </c>
      <c r="K17" s="151">
        <v>0</v>
      </c>
      <c r="L17" s="152">
        <v>0</v>
      </c>
      <c r="M17" s="142" vm="891">
        <v>773431</v>
      </c>
      <c r="N17" s="142" vm="571">
        <v>923661</v>
      </c>
      <c r="O17" s="147">
        <v>119.42384000641297</v>
      </c>
      <c r="P17" s="155">
        <v>11.79</v>
      </c>
      <c r="Q17" s="155">
        <v>13.31</v>
      </c>
      <c r="W17" s="8"/>
    </row>
    <row r="18" spans="2:23" ht="23.55" customHeight="1" x14ac:dyDescent="0.3">
      <c r="B18" s="115" t="s" vm="22">
        <v>10</v>
      </c>
      <c r="C18" s="142" vm="825">
        <v>244083</v>
      </c>
      <c r="D18" s="142" vm="612">
        <v>292951</v>
      </c>
      <c r="E18" s="147">
        <v>120.02105841045874</v>
      </c>
      <c r="F18" s="151">
        <v>4.76</v>
      </c>
      <c r="G18" s="152">
        <v>5.37</v>
      </c>
      <c r="H18" s="142" vm="1091">
        <v>75908</v>
      </c>
      <c r="I18" s="142" vm="556">
        <v>79260</v>
      </c>
      <c r="J18" s="147">
        <v>104.41587184486482</v>
      </c>
      <c r="K18" s="151">
        <v>5.29</v>
      </c>
      <c r="L18" s="152">
        <v>5.35</v>
      </c>
      <c r="M18" s="142" vm="1396">
        <v>319991</v>
      </c>
      <c r="N18" s="142" vm="552">
        <v>372211</v>
      </c>
      <c r="O18" s="147">
        <v>116.3192089777525</v>
      </c>
      <c r="P18" s="155">
        <v>4.88</v>
      </c>
      <c r="Q18" s="155">
        <v>5.36</v>
      </c>
      <c r="W18" s="8"/>
    </row>
    <row r="19" spans="2:23" ht="23.55" customHeight="1" x14ac:dyDescent="0.3">
      <c r="B19" s="115" t="s" vm="10">
        <v>5</v>
      </c>
      <c r="C19" s="142" vm="1507">
        <v>157256</v>
      </c>
      <c r="D19" s="142" vm="515">
        <v>186396</v>
      </c>
      <c r="E19" s="147">
        <v>118.53029455155924</v>
      </c>
      <c r="F19" s="151">
        <v>3.07</v>
      </c>
      <c r="G19" s="152">
        <v>3.41</v>
      </c>
      <c r="H19" s="142" vm="1136">
        <v>120082</v>
      </c>
      <c r="I19" s="142" vm="461">
        <v>114067</v>
      </c>
      <c r="J19" s="147">
        <v>94.990922869372596</v>
      </c>
      <c r="K19" s="151">
        <v>8.3699999999999992</v>
      </c>
      <c r="L19" s="152">
        <v>7.71</v>
      </c>
      <c r="M19" s="142" vm="1188">
        <v>277338</v>
      </c>
      <c r="N19" s="142" vm="558">
        <v>300463</v>
      </c>
      <c r="O19" s="147">
        <v>108.33820103988634</v>
      </c>
      <c r="P19" s="155">
        <v>4.2300000000000004</v>
      </c>
      <c r="Q19" s="155">
        <v>4.33</v>
      </c>
      <c r="W19" s="8"/>
    </row>
    <row r="20" spans="2:23" ht="23.55" customHeight="1" x14ac:dyDescent="0.3">
      <c r="B20" s="115" t="s" vm="24">
        <v>9</v>
      </c>
      <c r="C20" s="142" vm="999">
        <v>141249</v>
      </c>
      <c r="D20" s="142" vm="555">
        <v>154459</v>
      </c>
      <c r="E20" s="147">
        <v>109.35227860020247</v>
      </c>
      <c r="F20" s="151">
        <v>2.76</v>
      </c>
      <c r="G20" s="152">
        <v>2.83</v>
      </c>
      <c r="H20" s="142">
        <v>0</v>
      </c>
      <c r="I20" s="142">
        <v>0</v>
      </c>
      <c r="J20" s="147" t="s">
        <v>127</v>
      </c>
      <c r="K20" s="151">
        <v>0</v>
      </c>
      <c r="L20" s="152">
        <v>0</v>
      </c>
      <c r="M20" s="142" vm="1369">
        <v>141249</v>
      </c>
      <c r="N20" s="142" vm="570">
        <v>154459</v>
      </c>
      <c r="O20" s="147">
        <v>109.35227860020247</v>
      </c>
      <c r="P20" s="155">
        <v>2.15</v>
      </c>
      <c r="Q20" s="155">
        <v>2.2200000000000002</v>
      </c>
      <c r="W20" s="8"/>
    </row>
    <row r="21" spans="2:23" ht="23.55" customHeight="1" x14ac:dyDescent="0.3">
      <c r="B21" s="115" t="s" vm="14">
        <v>22</v>
      </c>
      <c r="C21" s="142" vm="1169">
        <v>44</v>
      </c>
      <c r="D21" s="142" vm="567">
        <v>57</v>
      </c>
      <c r="E21" s="147">
        <v>129.54545454545453</v>
      </c>
      <c r="F21" s="151">
        <v>0</v>
      </c>
      <c r="G21" s="152">
        <v>0</v>
      </c>
      <c r="H21" s="142">
        <v>0</v>
      </c>
      <c r="I21" s="142">
        <v>0</v>
      </c>
      <c r="J21" s="147" t="s">
        <v>127</v>
      </c>
      <c r="K21" s="151">
        <v>0</v>
      </c>
      <c r="L21" s="152">
        <v>0</v>
      </c>
      <c r="M21" s="142" vm="1454">
        <v>44</v>
      </c>
      <c r="N21" s="142" vm="491">
        <v>57</v>
      </c>
      <c r="O21" s="147">
        <v>129.54545454545453</v>
      </c>
      <c r="P21" s="155">
        <v>0</v>
      </c>
      <c r="Q21" s="155">
        <v>0</v>
      </c>
      <c r="W21" s="8"/>
    </row>
    <row r="22" spans="2:23" ht="23.55" customHeight="1" x14ac:dyDescent="0.3">
      <c r="B22" s="115" t="s" vm="9">
        <v>13</v>
      </c>
      <c r="C22" s="142" vm="1221">
        <v>24436</v>
      </c>
      <c r="D22" s="142" vm="542">
        <v>33906</v>
      </c>
      <c r="E22" s="147">
        <v>138.75429693894256</v>
      </c>
      <c r="F22" s="151">
        <v>0.48</v>
      </c>
      <c r="G22" s="152">
        <v>0.62</v>
      </c>
      <c r="H22" s="142">
        <v>0</v>
      </c>
      <c r="I22" s="142">
        <v>0</v>
      </c>
      <c r="J22" s="147" t="s">
        <v>127</v>
      </c>
      <c r="K22" s="151">
        <v>0</v>
      </c>
      <c r="L22" s="152">
        <v>0</v>
      </c>
      <c r="M22" s="142" vm="1070">
        <v>24436</v>
      </c>
      <c r="N22" s="142" vm="530">
        <v>33906</v>
      </c>
      <c r="O22" s="147">
        <v>138.75429693894256</v>
      </c>
      <c r="P22" s="155">
        <v>0.37</v>
      </c>
      <c r="Q22" s="155">
        <v>0.49</v>
      </c>
      <c r="W22" s="8"/>
    </row>
    <row r="23" spans="2:23" ht="23.55" customHeight="1" x14ac:dyDescent="0.3">
      <c r="B23" s="115" t="s" vm="3">
        <v>3</v>
      </c>
      <c r="C23" s="142" vm="1067">
        <v>512864</v>
      </c>
      <c r="D23" s="142" vm="565">
        <v>588157</v>
      </c>
      <c r="E23" s="147">
        <v>114.68089006052287</v>
      </c>
      <c r="F23" s="151">
        <v>10.01</v>
      </c>
      <c r="G23" s="152">
        <v>10.77</v>
      </c>
      <c r="H23" s="142" vm="1380">
        <v>0</v>
      </c>
      <c r="I23" s="142" vm="463">
        <v>0</v>
      </c>
      <c r="J23" s="147" t="s">
        <v>127</v>
      </c>
      <c r="K23" s="151">
        <v>0</v>
      </c>
      <c r="L23" s="152">
        <v>0</v>
      </c>
      <c r="M23" s="142" vm="988">
        <v>512864</v>
      </c>
      <c r="N23" s="142" vm="482">
        <v>588157</v>
      </c>
      <c r="O23" s="147">
        <v>114.68089006052287</v>
      </c>
      <c r="P23" s="155">
        <v>7.82</v>
      </c>
      <c r="Q23" s="155">
        <v>8.48</v>
      </c>
      <c r="W23" s="8"/>
    </row>
    <row r="24" spans="2:23" ht="23.55" customHeight="1" x14ac:dyDescent="0.3">
      <c r="B24" s="115" t="s" vm="17">
        <v>23</v>
      </c>
      <c r="C24" s="142" vm="1520">
        <v>0</v>
      </c>
      <c r="D24" s="142" vm="573">
        <v>0</v>
      </c>
      <c r="E24" s="147" t="s">
        <v>127</v>
      </c>
      <c r="F24" s="151">
        <v>0</v>
      </c>
      <c r="G24" s="152">
        <v>0</v>
      </c>
      <c r="H24" s="142" vm="970">
        <v>7971</v>
      </c>
      <c r="I24" s="142" vm="553">
        <v>8245</v>
      </c>
      <c r="J24" s="147">
        <v>103.43746079538327</v>
      </c>
      <c r="K24" s="151">
        <v>0.56000000000000005</v>
      </c>
      <c r="L24" s="152">
        <v>0.56000000000000005</v>
      </c>
      <c r="M24" s="142" vm="1123">
        <v>7971</v>
      </c>
      <c r="N24" s="142" vm="574">
        <v>8245</v>
      </c>
      <c r="O24" s="147">
        <v>103.43746079538327</v>
      </c>
      <c r="P24" s="155">
        <v>0.12</v>
      </c>
      <c r="Q24" s="155">
        <v>0.12</v>
      </c>
      <c r="W24" s="8"/>
    </row>
    <row r="25" spans="2:23" ht="23.55" customHeight="1" x14ac:dyDescent="0.3">
      <c r="B25" s="115" t="s" vm="19">
        <v>6</v>
      </c>
      <c r="C25" s="142" vm="1217">
        <v>32412</v>
      </c>
      <c r="D25" s="142" vm="526">
        <v>31245</v>
      </c>
      <c r="E25" s="147">
        <v>96.399481673454275</v>
      </c>
      <c r="F25" s="151">
        <v>0.63</v>
      </c>
      <c r="G25" s="152">
        <v>0.56999999999999995</v>
      </c>
      <c r="H25" s="142" vm="824">
        <v>144323</v>
      </c>
      <c r="I25" s="142" vm="520">
        <v>137737</v>
      </c>
      <c r="J25" s="147">
        <v>95.436624792999041</v>
      </c>
      <c r="K25" s="151">
        <v>10.06</v>
      </c>
      <c r="L25" s="152">
        <v>9.31</v>
      </c>
      <c r="M25" s="142" vm="1042">
        <v>176735</v>
      </c>
      <c r="N25" s="142" vm="500">
        <v>168982</v>
      </c>
      <c r="O25" s="147">
        <v>95.61320621269131</v>
      </c>
      <c r="P25" s="155">
        <v>2.69</v>
      </c>
      <c r="Q25" s="155">
        <v>2.44</v>
      </c>
      <c r="W25" s="8"/>
    </row>
    <row r="26" spans="2:23" ht="23.55" customHeight="1" x14ac:dyDescent="0.3">
      <c r="B26" s="115" t="s" vm="2">
        <v>24</v>
      </c>
      <c r="C26" s="142" vm="1183">
        <v>0</v>
      </c>
      <c r="D26" s="142" vm="560">
        <v>0</v>
      </c>
      <c r="E26" s="147" t="s">
        <v>127</v>
      </c>
      <c r="F26" s="151">
        <v>0</v>
      </c>
      <c r="G26" s="152">
        <v>0</v>
      </c>
      <c r="H26" s="142" vm="789">
        <v>66408</v>
      </c>
      <c r="I26" s="142" vm="472">
        <v>77607</v>
      </c>
      <c r="J26" s="147">
        <v>116.86393205637874</v>
      </c>
      <c r="K26" s="151">
        <v>4.63</v>
      </c>
      <c r="L26" s="152">
        <v>5.24</v>
      </c>
      <c r="M26" s="142" vm="890">
        <v>66408</v>
      </c>
      <c r="N26" s="142" vm="421">
        <v>77607</v>
      </c>
      <c r="O26" s="147">
        <v>116.86393205637874</v>
      </c>
      <c r="P26" s="155">
        <v>1.01</v>
      </c>
      <c r="Q26" s="155">
        <v>1.1200000000000001</v>
      </c>
      <c r="W26" s="8"/>
    </row>
    <row r="27" spans="2:23" ht="23.55" customHeight="1" x14ac:dyDescent="0.3">
      <c r="B27" s="115" t="s" vm="23">
        <v>7</v>
      </c>
      <c r="C27" s="142" vm="1328">
        <v>114745</v>
      </c>
      <c r="D27" s="142" vm="485">
        <v>25703</v>
      </c>
      <c r="E27" s="147">
        <v>22.400104579720249</v>
      </c>
      <c r="F27" s="151">
        <v>2.2400000000000002</v>
      </c>
      <c r="G27" s="152">
        <v>0.47</v>
      </c>
      <c r="H27" s="142" vm="1468">
        <v>0</v>
      </c>
      <c r="I27" s="142" vm="483">
        <v>0</v>
      </c>
      <c r="J27" s="147" t="s">
        <v>127</v>
      </c>
      <c r="K27" s="151">
        <v>0</v>
      </c>
      <c r="L27" s="152">
        <v>0</v>
      </c>
      <c r="M27" s="142" vm="850">
        <v>114745</v>
      </c>
      <c r="N27" s="142" vm="589">
        <v>25703</v>
      </c>
      <c r="O27" s="147">
        <v>22.400104579720249</v>
      </c>
      <c r="P27" s="155">
        <v>1.75</v>
      </c>
      <c r="Q27" s="155">
        <v>0.37</v>
      </c>
      <c r="W27" s="8"/>
    </row>
    <row r="28" spans="2:23" ht="23.55" customHeight="1" x14ac:dyDescent="0.3">
      <c r="B28" s="115" t="s" vm="13">
        <v>1</v>
      </c>
      <c r="C28" s="142" vm="723">
        <v>166611</v>
      </c>
      <c r="D28" s="142" vm="511">
        <v>187740</v>
      </c>
      <c r="E28" s="147">
        <v>112.68163566631256</v>
      </c>
      <c r="F28" s="151">
        <v>3.25</v>
      </c>
      <c r="G28" s="152">
        <v>3.44</v>
      </c>
      <c r="H28" s="142" vm="851">
        <v>50143</v>
      </c>
      <c r="I28" s="142" vm="510">
        <v>48469</v>
      </c>
      <c r="J28" s="147">
        <v>96.661547972797806</v>
      </c>
      <c r="K28" s="151">
        <v>3.49</v>
      </c>
      <c r="L28" s="152">
        <v>3.27</v>
      </c>
      <c r="M28" s="142" vm="791">
        <v>216754</v>
      </c>
      <c r="N28" s="142" vm="509">
        <v>236209</v>
      </c>
      <c r="O28" s="147">
        <v>108.97561290679756</v>
      </c>
      <c r="P28" s="155">
        <v>3.3</v>
      </c>
      <c r="Q28" s="155">
        <v>3.4</v>
      </c>
      <c r="W28" s="8"/>
    </row>
    <row r="29" spans="2:23" ht="23.55" customHeight="1" x14ac:dyDescent="0.3">
      <c r="B29" s="115" t="s">
        <v>291</v>
      </c>
      <c r="C29" s="142">
        <v>272754</v>
      </c>
      <c r="D29" s="142" vm="550">
        <v>350227</v>
      </c>
      <c r="E29" s="147">
        <v>128.40398307632518</v>
      </c>
      <c r="F29" s="151">
        <v>5.32</v>
      </c>
      <c r="G29" s="152">
        <v>6.42</v>
      </c>
      <c r="H29" s="142">
        <v>180760</v>
      </c>
      <c r="I29" s="142" vm="559">
        <v>196384</v>
      </c>
      <c r="J29" s="147">
        <v>108.64350520026555</v>
      </c>
      <c r="K29" s="151">
        <v>12.6</v>
      </c>
      <c r="L29" s="152">
        <v>13.27</v>
      </c>
      <c r="M29" s="142">
        <v>453514</v>
      </c>
      <c r="N29" s="142" vm="497">
        <v>546611</v>
      </c>
      <c r="O29" s="147">
        <v>120.52792196051278</v>
      </c>
      <c r="P29" s="155">
        <v>6.91</v>
      </c>
      <c r="Q29" s="155">
        <v>7.88</v>
      </c>
      <c r="W29" s="8"/>
    </row>
    <row r="30" spans="2:23" ht="23.55" customHeight="1" x14ac:dyDescent="0.3">
      <c r="B30" s="115" t="s" vm="1">
        <v>12</v>
      </c>
      <c r="C30" s="142" vm="1518">
        <v>51273</v>
      </c>
      <c r="D30" s="142" vm="507">
        <v>58289</v>
      </c>
      <c r="E30" s="147">
        <v>113.68361515807538</v>
      </c>
      <c r="F30" s="151">
        <v>1</v>
      </c>
      <c r="G30" s="152">
        <v>1.07</v>
      </c>
      <c r="H30" s="142">
        <v>0</v>
      </c>
      <c r="I30" s="142">
        <v>0</v>
      </c>
      <c r="J30" s="147" t="s">
        <v>127</v>
      </c>
      <c r="K30" s="151">
        <v>0</v>
      </c>
      <c r="L30" s="152">
        <v>0</v>
      </c>
      <c r="M30" s="142" vm="946">
        <v>51273</v>
      </c>
      <c r="N30" s="142" vm="528">
        <v>58289</v>
      </c>
      <c r="O30" s="147">
        <v>113.68361515807538</v>
      </c>
      <c r="P30" s="155">
        <v>0.78</v>
      </c>
      <c r="Q30" s="155">
        <v>0.84</v>
      </c>
      <c r="W30" s="8"/>
    </row>
    <row r="31" spans="2:23" ht="23.55" customHeight="1" x14ac:dyDescent="0.3">
      <c r="B31" s="115" t="s" vm="16">
        <v>25</v>
      </c>
      <c r="C31" s="142">
        <v>0</v>
      </c>
      <c r="D31" s="142">
        <v>0</v>
      </c>
      <c r="E31" s="147" t="s">
        <v>127</v>
      </c>
      <c r="F31" s="151">
        <v>0</v>
      </c>
      <c r="G31" s="152">
        <v>0</v>
      </c>
      <c r="H31" s="142" vm="750">
        <v>14659</v>
      </c>
      <c r="I31" s="142" vm="449">
        <v>16425</v>
      </c>
      <c r="J31" s="147">
        <v>112.04720649430384</v>
      </c>
      <c r="K31" s="151">
        <v>1.02</v>
      </c>
      <c r="L31" s="152">
        <v>1.1100000000000001</v>
      </c>
      <c r="M31" s="142" vm="1547">
        <v>14659</v>
      </c>
      <c r="N31" s="142" vm="566">
        <v>16425</v>
      </c>
      <c r="O31" s="147">
        <v>112.04720649430384</v>
      </c>
      <c r="P31" s="155">
        <v>0.22</v>
      </c>
      <c r="Q31" s="155">
        <v>0.24</v>
      </c>
      <c r="W31" s="8"/>
    </row>
    <row r="32" spans="2:23" ht="23.55" customHeight="1" x14ac:dyDescent="0.3">
      <c r="B32" s="115" t="s" vm="21">
        <v>116</v>
      </c>
      <c r="C32" s="142" vm="788">
        <v>239875</v>
      </c>
      <c r="D32" s="142" vm="541">
        <v>279222</v>
      </c>
      <c r="E32" s="147">
        <v>116.40312662845231</v>
      </c>
      <c r="F32" s="151">
        <v>4.68</v>
      </c>
      <c r="G32" s="152">
        <v>5.1100000000000003</v>
      </c>
      <c r="H32" s="142" vm="858">
        <v>118462</v>
      </c>
      <c r="I32" s="142" vm="568">
        <v>105392</v>
      </c>
      <c r="J32" s="147">
        <v>88.96692610288531</v>
      </c>
      <c r="K32" s="151">
        <v>8.26</v>
      </c>
      <c r="L32" s="152">
        <v>7.12</v>
      </c>
      <c r="M32" s="142" vm="1108">
        <v>358337</v>
      </c>
      <c r="N32" s="142" vm="569">
        <v>384614</v>
      </c>
      <c r="O32" s="147">
        <v>107.33304124329889</v>
      </c>
      <c r="P32" s="155">
        <v>5.46</v>
      </c>
      <c r="Q32" s="155">
        <v>5.54</v>
      </c>
      <c r="W32" s="8"/>
    </row>
    <row r="33" spans="2:25" ht="23.55" customHeight="1" x14ac:dyDescent="0.3">
      <c r="B33" s="329" t="s" vm="249">
        <v>107</v>
      </c>
      <c r="C33" s="323">
        <v>0</v>
      </c>
      <c r="D33" s="324">
        <v>0</v>
      </c>
      <c r="E33" s="325" t="s">
        <v>127</v>
      </c>
      <c r="F33" s="326">
        <v>0</v>
      </c>
      <c r="G33" s="327">
        <v>0</v>
      </c>
      <c r="H33" s="324" vm="1056">
        <v>9508</v>
      </c>
      <c r="I33" s="324" vm="444">
        <v>18770</v>
      </c>
      <c r="J33" s="325">
        <v>197.41270509045015</v>
      </c>
      <c r="K33" s="326">
        <v>0.66</v>
      </c>
      <c r="L33" s="327">
        <v>1.27</v>
      </c>
      <c r="M33" s="324" vm="714">
        <v>9508</v>
      </c>
      <c r="N33" s="324" vm="494">
        <v>18770</v>
      </c>
      <c r="O33" s="325">
        <v>197.41270509045015</v>
      </c>
      <c r="P33" s="328">
        <v>0.15000000000000002</v>
      </c>
      <c r="Q33" s="328">
        <v>0.27</v>
      </c>
      <c r="W33" s="8"/>
    </row>
    <row r="34" spans="2:25" ht="2.35" customHeight="1" x14ac:dyDescent="0.3">
      <c r="B34" s="116"/>
      <c r="C34" s="143"/>
      <c r="D34" s="143"/>
      <c r="E34" s="148"/>
      <c r="F34" s="153"/>
      <c r="G34" s="153"/>
      <c r="H34" s="143"/>
      <c r="I34" s="143"/>
      <c r="J34" s="148"/>
      <c r="K34" s="153"/>
      <c r="L34" s="153"/>
      <c r="M34" s="143"/>
      <c r="N34" s="143"/>
      <c r="O34" s="148"/>
      <c r="P34" s="156"/>
      <c r="Q34" s="156"/>
      <c r="W34" s="8"/>
    </row>
    <row r="35" spans="2:25" ht="23" customHeight="1" x14ac:dyDescent="0.3">
      <c r="B35" s="117" t="s" vm="248">
        <v>128</v>
      </c>
      <c r="C35" s="144" vm="1102">
        <v>5125580</v>
      </c>
      <c r="D35" s="144" vm="439">
        <v>5459020</v>
      </c>
      <c r="E35" s="140">
        <v>106.50541011944014</v>
      </c>
      <c r="F35" s="136">
        <v>100.00000000000003</v>
      </c>
      <c r="G35" s="136">
        <v>99.999999999999972</v>
      </c>
      <c r="H35" s="144" vm="1040">
        <v>1434829</v>
      </c>
      <c r="I35" s="144" vm="489">
        <v>1480208</v>
      </c>
      <c r="J35" s="140">
        <v>103.1626765280044</v>
      </c>
      <c r="K35" s="136">
        <v>99.999999999999986</v>
      </c>
      <c r="L35" s="136">
        <v>99.999999999999986</v>
      </c>
      <c r="M35" s="144" vm="1337">
        <v>6560409</v>
      </c>
      <c r="N35" s="144" vm="445">
        <v>6939228</v>
      </c>
      <c r="O35" s="140">
        <v>105.77431986328901</v>
      </c>
      <c r="P35" s="157">
        <v>100.00000000000001</v>
      </c>
      <c r="Q35" s="157">
        <v>100.00000000000001</v>
      </c>
      <c r="W35" s="8"/>
    </row>
    <row r="36" spans="2:25" ht="23.3" customHeight="1" x14ac:dyDescent="0.3">
      <c r="B36" s="365" t="s">
        <v>292</v>
      </c>
      <c r="E36" s="110"/>
      <c r="F36" s="110"/>
      <c r="G36" s="110"/>
      <c r="H36" s="8"/>
      <c r="I36" s="110"/>
      <c r="J36" s="110"/>
      <c r="K36" s="110"/>
      <c r="L36" s="110"/>
      <c r="M36" s="8"/>
      <c r="P36" s="8"/>
      <c r="Q36" s="8"/>
      <c r="W36" s="8"/>
    </row>
    <row r="37" spans="2:25" x14ac:dyDescent="0.3">
      <c r="B37" s="109"/>
      <c r="C37" s="110"/>
      <c r="D37" s="110"/>
      <c r="E37" s="110"/>
      <c r="F37" s="110"/>
      <c r="G37" s="110"/>
      <c r="H37" s="8"/>
      <c r="I37" s="110"/>
      <c r="J37" s="110"/>
      <c r="K37" s="110"/>
      <c r="L37" s="110"/>
      <c r="M37" s="8"/>
      <c r="P37" s="8"/>
      <c r="Q37" s="8"/>
      <c r="W37" s="8"/>
    </row>
    <row r="38" spans="2:25" x14ac:dyDescent="0.3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W38" s="8"/>
    </row>
    <row r="39" spans="2:25" x14ac:dyDescent="0.3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2:25" x14ac:dyDescent="0.3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2:25" x14ac:dyDescent="0.3"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2:25" x14ac:dyDescent="0.3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2:25" x14ac:dyDescent="0.3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2:25" x14ac:dyDescent="0.3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2:25" x14ac:dyDescent="0.3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2:25" x14ac:dyDescent="0.3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2:25" x14ac:dyDescent="0.3"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2:25" x14ac:dyDescent="0.3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6" x14ac:dyDescent="0.3"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R49" s="110"/>
      <c r="S49" s="110"/>
      <c r="T49" s="110"/>
      <c r="U49" s="110"/>
      <c r="V49" s="110"/>
      <c r="W49" s="110"/>
      <c r="X49" s="110"/>
      <c r="Y49" s="110"/>
    </row>
    <row r="50" spans="1:26" x14ac:dyDescent="0.3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26" x14ac:dyDescent="0.3"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26" x14ac:dyDescent="0.3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26" x14ac:dyDescent="0.3"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26" x14ac:dyDescent="0.3"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26" x14ac:dyDescent="0.3"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1:26" x14ac:dyDescent="0.3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26" x14ac:dyDescent="0.3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1:26" x14ac:dyDescent="0.3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59" spans="1:26" x14ac:dyDescent="0.3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</row>
    <row r="60" spans="1:26" x14ac:dyDescent="0.3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26" x14ac:dyDescent="0.3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26" s="69" customFormat="1" x14ac:dyDescent="0.3">
      <c r="A62" s="8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R62" s="8"/>
      <c r="S62" s="8"/>
      <c r="T62" s="8"/>
      <c r="U62" s="8"/>
      <c r="V62" s="8"/>
      <c r="W62" s="70"/>
      <c r="X62" s="8"/>
      <c r="Y62" s="8"/>
      <c r="Z62" s="8"/>
    </row>
    <row r="63" spans="1:26" s="69" customFormat="1" x14ac:dyDescent="0.3">
      <c r="A63" s="8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R63" s="8"/>
      <c r="S63" s="8"/>
      <c r="T63" s="8"/>
      <c r="U63" s="8"/>
      <c r="V63" s="8"/>
      <c r="W63" s="70"/>
      <c r="X63" s="8"/>
      <c r="Y63" s="8"/>
      <c r="Z63" s="8"/>
    </row>
    <row r="64" spans="1:26" s="69" customFormat="1" x14ac:dyDescent="0.3">
      <c r="A64" s="8"/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R64" s="8"/>
      <c r="S64" s="8"/>
      <c r="T64" s="8"/>
      <c r="U64" s="8"/>
      <c r="V64" s="8"/>
      <c r="W64" s="70"/>
      <c r="X64" s="8"/>
      <c r="Y64" s="8"/>
      <c r="Z64" s="8"/>
    </row>
    <row r="65" spans="1:26" s="69" customFormat="1" x14ac:dyDescent="0.3">
      <c r="A65" s="8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R65" s="8"/>
      <c r="S65" s="8"/>
      <c r="T65" s="8"/>
      <c r="U65" s="8"/>
      <c r="V65" s="8"/>
      <c r="W65" s="70"/>
      <c r="X65" s="8"/>
      <c r="Y65" s="8"/>
      <c r="Z65" s="8"/>
    </row>
    <row r="66" spans="1:26" s="69" customFormat="1" x14ac:dyDescent="0.3">
      <c r="A66" s="8"/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R66" s="8"/>
      <c r="S66" s="8"/>
      <c r="T66" s="8"/>
      <c r="U66" s="8"/>
      <c r="V66" s="8"/>
      <c r="W66" s="70"/>
      <c r="X66" s="8"/>
      <c r="Y66" s="8"/>
      <c r="Z66" s="8"/>
    </row>
    <row r="67" spans="1:26" s="69" customFormat="1" x14ac:dyDescent="0.3">
      <c r="A67" s="8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R67" s="8"/>
      <c r="S67" s="8"/>
      <c r="T67" s="8"/>
      <c r="U67" s="8"/>
      <c r="V67" s="8"/>
      <c r="W67" s="70"/>
      <c r="X67" s="8"/>
      <c r="Y67" s="8"/>
      <c r="Z67" s="8"/>
    </row>
    <row r="68" spans="1:26" s="69" customFormat="1" x14ac:dyDescent="0.3">
      <c r="A68" s="8"/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R68" s="8"/>
      <c r="S68" s="8"/>
      <c r="T68" s="8"/>
      <c r="U68" s="8"/>
      <c r="V68" s="8"/>
      <c r="W68" s="70"/>
      <c r="X68" s="8"/>
      <c r="Y68" s="8"/>
      <c r="Z68" s="8"/>
    </row>
    <row r="69" spans="1:26" s="69" customFormat="1" x14ac:dyDescent="0.3">
      <c r="A69" s="8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R69" s="8"/>
      <c r="S69" s="8"/>
      <c r="T69" s="8"/>
      <c r="U69" s="8"/>
      <c r="V69" s="8"/>
      <c r="W69" s="70"/>
      <c r="X69" s="8"/>
      <c r="Y69" s="8"/>
      <c r="Z69" s="8"/>
    </row>
    <row r="70" spans="1:26" s="69" customFormat="1" x14ac:dyDescent="0.3">
      <c r="A70" s="8"/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R70" s="8"/>
      <c r="S70" s="8"/>
      <c r="T70" s="8"/>
      <c r="U70" s="8"/>
      <c r="V70" s="8"/>
      <c r="W70" s="70"/>
      <c r="X70" s="8"/>
      <c r="Y70" s="8"/>
      <c r="Z70" s="8"/>
    </row>
    <row r="71" spans="1:26" s="69" customFormat="1" x14ac:dyDescent="0.3">
      <c r="A71" s="8"/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R71" s="8"/>
      <c r="S71" s="8"/>
      <c r="T71" s="8"/>
      <c r="U71" s="8"/>
      <c r="V71" s="8"/>
      <c r="W71" s="70"/>
      <c r="X71" s="8"/>
      <c r="Y71" s="8"/>
      <c r="Z71" s="8"/>
    </row>
    <row r="72" spans="1:26" s="69" customFormat="1" x14ac:dyDescent="0.3">
      <c r="A72" s="8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R72" s="8"/>
      <c r="S72" s="8"/>
      <c r="T72" s="8"/>
      <c r="U72" s="8"/>
      <c r="V72" s="8"/>
      <c r="W72" s="70"/>
      <c r="X72" s="8"/>
      <c r="Y72" s="8"/>
      <c r="Z72" s="8"/>
    </row>
    <row r="73" spans="1:26" s="69" customFormat="1" x14ac:dyDescent="0.3">
      <c r="A73" s="8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R73" s="8"/>
      <c r="S73" s="8"/>
      <c r="T73" s="8"/>
      <c r="U73" s="8"/>
      <c r="V73" s="8"/>
      <c r="W73" s="70"/>
      <c r="X73" s="8"/>
      <c r="Y73" s="8"/>
      <c r="Z73" s="8"/>
    </row>
    <row r="74" spans="1:26" s="69" customFormat="1" x14ac:dyDescent="0.3">
      <c r="A74" s="8"/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R74" s="8"/>
      <c r="S74" s="8"/>
      <c r="T74" s="8"/>
      <c r="U74" s="8"/>
      <c r="V74" s="8"/>
      <c r="W74" s="70"/>
      <c r="X74" s="8"/>
      <c r="Y74" s="8"/>
      <c r="Z74" s="8"/>
    </row>
    <row r="75" spans="1:26" s="69" customFormat="1" x14ac:dyDescent="0.3">
      <c r="A75" s="8"/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R75" s="8"/>
      <c r="S75" s="8"/>
      <c r="T75" s="8"/>
      <c r="U75" s="8"/>
      <c r="V75" s="8"/>
      <c r="W75" s="70"/>
      <c r="X75" s="8"/>
      <c r="Y75" s="8"/>
      <c r="Z75" s="8"/>
    </row>
    <row r="76" spans="1:26" s="69" customFormat="1" x14ac:dyDescent="0.3">
      <c r="A76" s="8"/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R76" s="8"/>
      <c r="S76" s="8"/>
      <c r="T76" s="8"/>
      <c r="U76" s="8"/>
      <c r="V76" s="8"/>
      <c r="W76" s="70"/>
      <c r="X76" s="8"/>
      <c r="Y76" s="8"/>
      <c r="Z76" s="8"/>
    </row>
    <row r="77" spans="1:26" s="69" customFormat="1" x14ac:dyDescent="0.3">
      <c r="A77" s="8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R77" s="8"/>
      <c r="S77" s="8"/>
      <c r="T77" s="8"/>
      <c r="U77" s="8"/>
      <c r="V77" s="8"/>
      <c r="W77" s="70"/>
      <c r="X77" s="8"/>
      <c r="Y77" s="8"/>
      <c r="Z77" s="8"/>
    </row>
    <row r="78" spans="1:26" s="69" customFormat="1" x14ac:dyDescent="0.3">
      <c r="A78" s="8"/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R78" s="8"/>
      <c r="S78" s="8"/>
      <c r="T78" s="8"/>
      <c r="U78" s="8"/>
      <c r="V78" s="8"/>
      <c r="W78" s="70"/>
      <c r="X78" s="8"/>
      <c r="Y78" s="8"/>
      <c r="Z78" s="8"/>
    </row>
    <row r="79" spans="1:26" s="69" customFormat="1" x14ac:dyDescent="0.3">
      <c r="A79" s="8"/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R79" s="8"/>
      <c r="S79" s="8"/>
      <c r="T79" s="8"/>
      <c r="U79" s="8"/>
      <c r="V79" s="8"/>
      <c r="W79" s="70"/>
      <c r="X79" s="8"/>
      <c r="Y79" s="8"/>
      <c r="Z79" s="8"/>
    </row>
    <row r="80" spans="1:26" s="69" customFormat="1" x14ac:dyDescent="0.3">
      <c r="A80" s="8"/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R80" s="8"/>
      <c r="S80" s="8"/>
      <c r="T80" s="8"/>
      <c r="U80" s="8"/>
      <c r="V80" s="8"/>
      <c r="W80" s="70"/>
      <c r="X80" s="8"/>
      <c r="Y80" s="8"/>
      <c r="Z80" s="8"/>
    </row>
    <row r="81" spans="1:26" s="69" customFormat="1" x14ac:dyDescent="0.3">
      <c r="A81" s="8"/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R81" s="8"/>
      <c r="S81" s="8"/>
      <c r="T81" s="8"/>
      <c r="U81" s="8"/>
      <c r="V81" s="8"/>
      <c r="W81" s="70"/>
      <c r="X81" s="8"/>
      <c r="Y81" s="8"/>
      <c r="Z81" s="8"/>
    </row>
    <row r="82" spans="1:26" s="69" customFormat="1" x14ac:dyDescent="0.3">
      <c r="A82" s="8"/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R82" s="8"/>
      <c r="S82" s="8"/>
      <c r="T82" s="8"/>
      <c r="U82" s="8"/>
      <c r="V82" s="8"/>
      <c r="W82" s="70"/>
      <c r="X82" s="8"/>
      <c r="Y82" s="8"/>
      <c r="Z82" s="8"/>
    </row>
    <row r="83" spans="1:26" s="69" customFormat="1" x14ac:dyDescent="0.3">
      <c r="A83" s="8"/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R83" s="8"/>
      <c r="S83" s="8"/>
      <c r="T83" s="8"/>
      <c r="U83" s="8"/>
      <c r="V83" s="8"/>
      <c r="W83" s="70"/>
      <c r="X83" s="8"/>
      <c r="Y83" s="8"/>
      <c r="Z83" s="8"/>
    </row>
    <row r="84" spans="1:26" s="69" customFormat="1" x14ac:dyDescent="0.3">
      <c r="A84" s="8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R84" s="8"/>
      <c r="S84" s="8"/>
      <c r="T84" s="8"/>
      <c r="U84" s="8"/>
      <c r="V84" s="8"/>
      <c r="W84" s="70"/>
      <c r="X84" s="8"/>
      <c r="Y84" s="8"/>
      <c r="Z84" s="8"/>
    </row>
    <row r="85" spans="1:26" s="69" customFormat="1" x14ac:dyDescent="0.3">
      <c r="A85" s="8"/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R85" s="8"/>
      <c r="S85" s="8"/>
      <c r="T85" s="8"/>
      <c r="U85" s="8"/>
      <c r="V85" s="8"/>
      <c r="W85" s="70"/>
      <c r="X85" s="8"/>
      <c r="Y85" s="8"/>
      <c r="Z85" s="8"/>
    </row>
    <row r="86" spans="1:26" s="69" customFormat="1" x14ac:dyDescent="0.3">
      <c r="A86" s="8"/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R86" s="8"/>
      <c r="S86" s="8"/>
      <c r="T86" s="8"/>
      <c r="U86" s="8"/>
      <c r="V86" s="8"/>
      <c r="W86" s="70"/>
      <c r="X86" s="8"/>
      <c r="Y86" s="8"/>
      <c r="Z86" s="8"/>
    </row>
    <row r="87" spans="1:26" s="69" customFormat="1" x14ac:dyDescent="0.3">
      <c r="A87" s="8"/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R87" s="8"/>
      <c r="S87" s="8"/>
      <c r="T87" s="8"/>
      <c r="U87" s="8"/>
      <c r="V87" s="8"/>
      <c r="W87" s="70"/>
      <c r="X87" s="8"/>
      <c r="Y87" s="8"/>
      <c r="Z87" s="8"/>
    </row>
    <row r="88" spans="1:26" s="69" customFormat="1" x14ac:dyDescent="0.3">
      <c r="A88" s="8"/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R88" s="8"/>
      <c r="S88" s="8"/>
      <c r="T88" s="8"/>
      <c r="U88" s="8"/>
      <c r="V88" s="8"/>
      <c r="W88" s="70"/>
      <c r="X88" s="8"/>
      <c r="Y88" s="8"/>
      <c r="Z88" s="8"/>
    </row>
    <row r="89" spans="1:26" s="69" customFormat="1" x14ac:dyDescent="0.3">
      <c r="A89" s="8"/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R89" s="8"/>
      <c r="S89" s="8"/>
      <c r="T89" s="8"/>
      <c r="U89" s="8"/>
      <c r="V89" s="8"/>
      <c r="W89" s="70"/>
      <c r="X89" s="8"/>
      <c r="Y89" s="8"/>
      <c r="Z89" s="8"/>
    </row>
    <row r="90" spans="1:26" s="69" customFormat="1" x14ac:dyDescent="0.3">
      <c r="A90" s="8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R90" s="8"/>
      <c r="S90" s="8"/>
      <c r="T90" s="8"/>
      <c r="U90" s="8"/>
      <c r="V90" s="8"/>
      <c r="W90" s="70"/>
      <c r="X90" s="8"/>
      <c r="Y90" s="8"/>
      <c r="Z90" s="8"/>
    </row>
    <row r="91" spans="1:26" s="69" customFormat="1" x14ac:dyDescent="0.3">
      <c r="A91" s="8"/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R91" s="8"/>
      <c r="S91" s="8"/>
      <c r="T91" s="8"/>
      <c r="U91" s="8"/>
      <c r="V91" s="8"/>
      <c r="W91" s="70"/>
      <c r="X91" s="8"/>
      <c r="Y91" s="8"/>
      <c r="Z91" s="8"/>
    </row>
    <row r="92" spans="1:26" s="69" customFormat="1" x14ac:dyDescent="0.3">
      <c r="A92" s="8"/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R92" s="8"/>
      <c r="S92" s="8"/>
      <c r="T92" s="8"/>
      <c r="U92" s="8"/>
      <c r="V92" s="8"/>
      <c r="W92" s="70"/>
      <c r="X92" s="8"/>
      <c r="Y92" s="8"/>
      <c r="Z92" s="8"/>
    </row>
    <row r="93" spans="1:26" s="69" customFormat="1" x14ac:dyDescent="0.3">
      <c r="A93" s="8"/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R93" s="8"/>
      <c r="S93" s="8"/>
      <c r="T93" s="8"/>
      <c r="U93" s="8"/>
      <c r="V93" s="8"/>
      <c r="W93" s="70"/>
      <c r="X93" s="8"/>
      <c r="Y93" s="8"/>
      <c r="Z93" s="8"/>
    </row>
    <row r="94" spans="1:26" s="69" customFormat="1" x14ac:dyDescent="0.3">
      <c r="A94" s="8"/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R94" s="8"/>
      <c r="S94" s="8"/>
      <c r="T94" s="8"/>
      <c r="U94" s="8"/>
      <c r="V94" s="8"/>
      <c r="W94" s="70"/>
      <c r="X94" s="8"/>
      <c r="Y94" s="8"/>
      <c r="Z94" s="8"/>
    </row>
    <row r="95" spans="1:26" s="69" customFormat="1" x14ac:dyDescent="0.3">
      <c r="A95" s="8"/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R95" s="8"/>
      <c r="S95" s="8"/>
      <c r="T95" s="8"/>
      <c r="U95" s="8"/>
      <c r="V95" s="8"/>
      <c r="W95" s="70"/>
      <c r="X95" s="8"/>
      <c r="Y95" s="8"/>
      <c r="Z95" s="8"/>
    </row>
    <row r="96" spans="1:26" s="69" customFormat="1" x14ac:dyDescent="0.3">
      <c r="A96" s="8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R96" s="8"/>
      <c r="S96" s="8"/>
      <c r="T96" s="8"/>
      <c r="U96" s="8"/>
      <c r="V96" s="8"/>
      <c r="W96" s="70"/>
      <c r="X96" s="8"/>
      <c r="Y96" s="8"/>
      <c r="Z96" s="8"/>
    </row>
    <row r="97" spans="1:26" s="69" customFormat="1" x14ac:dyDescent="0.3">
      <c r="A97" s="8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R97" s="8"/>
      <c r="S97" s="8"/>
      <c r="T97" s="8"/>
      <c r="U97" s="8"/>
      <c r="V97" s="8"/>
      <c r="W97" s="70"/>
      <c r="X97" s="8"/>
      <c r="Y97" s="8"/>
      <c r="Z97" s="8"/>
    </row>
    <row r="98" spans="1:26" s="69" customFormat="1" x14ac:dyDescent="0.3">
      <c r="A98" s="8"/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R98" s="8"/>
      <c r="S98" s="8"/>
      <c r="T98" s="8"/>
      <c r="U98" s="8"/>
      <c r="V98" s="8"/>
      <c r="W98" s="70"/>
      <c r="X98" s="8"/>
      <c r="Y98" s="8"/>
      <c r="Z98" s="8"/>
    </row>
    <row r="99" spans="1:26" s="69" customFormat="1" x14ac:dyDescent="0.3">
      <c r="A99" s="8"/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R99" s="8"/>
      <c r="S99" s="8"/>
      <c r="T99" s="8"/>
      <c r="U99" s="8"/>
      <c r="V99" s="8"/>
      <c r="W99" s="70"/>
      <c r="X99" s="8"/>
      <c r="Y99" s="8"/>
      <c r="Z99" s="8"/>
    </row>
    <row r="100" spans="1:26" s="69" customFormat="1" x14ac:dyDescent="0.3">
      <c r="A100" s="8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R100" s="8"/>
      <c r="S100" s="8"/>
      <c r="T100" s="8"/>
      <c r="U100" s="8"/>
      <c r="V100" s="8"/>
      <c r="W100" s="70"/>
      <c r="X100" s="8"/>
      <c r="Y100" s="8"/>
      <c r="Z100" s="8"/>
    </row>
    <row r="101" spans="1:26" s="69" customFormat="1" x14ac:dyDescent="0.3">
      <c r="A101" s="8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R101" s="8"/>
      <c r="S101" s="8"/>
      <c r="T101" s="8"/>
      <c r="U101" s="8"/>
      <c r="V101" s="8"/>
      <c r="W101" s="70"/>
      <c r="X101" s="8"/>
      <c r="Y101" s="8"/>
      <c r="Z101" s="8"/>
    </row>
    <row r="102" spans="1:26" s="69" customFormat="1" x14ac:dyDescent="0.3">
      <c r="A102" s="8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R102" s="8"/>
      <c r="S102" s="8"/>
      <c r="T102" s="8"/>
      <c r="U102" s="8"/>
      <c r="V102" s="8"/>
      <c r="W102" s="70"/>
      <c r="X102" s="8"/>
      <c r="Y102" s="8"/>
      <c r="Z102" s="8"/>
    </row>
    <row r="103" spans="1:26" s="69" customFormat="1" x14ac:dyDescent="0.3">
      <c r="A103" s="8"/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R103" s="8"/>
      <c r="S103" s="8"/>
      <c r="T103" s="8"/>
      <c r="U103" s="8"/>
      <c r="V103" s="8"/>
      <c r="W103" s="70"/>
      <c r="X103" s="8"/>
      <c r="Y103" s="8"/>
      <c r="Z103" s="8"/>
    </row>
    <row r="104" spans="1:26" s="69" customFormat="1" x14ac:dyDescent="0.3">
      <c r="A104" s="8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R104" s="8"/>
      <c r="S104" s="8"/>
      <c r="T104" s="8"/>
      <c r="U104" s="8"/>
      <c r="V104" s="8"/>
      <c r="W104" s="70"/>
      <c r="X104" s="8"/>
      <c r="Y104" s="8"/>
      <c r="Z104" s="8"/>
    </row>
    <row r="105" spans="1:26" s="69" customFormat="1" x14ac:dyDescent="0.3">
      <c r="A105" s="8"/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R105" s="8"/>
      <c r="S105" s="8"/>
      <c r="T105" s="8"/>
      <c r="U105" s="8"/>
      <c r="V105" s="8"/>
      <c r="W105" s="70"/>
      <c r="X105" s="8"/>
      <c r="Y105" s="8"/>
      <c r="Z105" s="8"/>
    </row>
    <row r="106" spans="1:26" s="69" customFormat="1" x14ac:dyDescent="0.3">
      <c r="A106" s="8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R106" s="8"/>
      <c r="S106" s="8"/>
      <c r="T106" s="8"/>
      <c r="U106" s="8"/>
      <c r="V106" s="8"/>
      <c r="W106" s="70"/>
      <c r="X106" s="8"/>
      <c r="Y106" s="8"/>
      <c r="Z106" s="8"/>
    </row>
    <row r="107" spans="1:26" s="69" customFormat="1" x14ac:dyDescent="0.3">
      <c r="A107" s="8"/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R107" s="8"/>
      <c r="S107" s="8"/>
      <c r="T107" s="8"/>
      <c r="U107" s="8"/>
      <c r="V107" s="8"/>
      <c r="W107" s="70"/>
      <c r="X107" s="8"/>
      <c r="Y107" s="8"/>
      <c r="Z107" s="8"/>
    </row>
    <row r="108" spans="1:26" s="69" customFormat="1" x14ac:dyDescent="0.3">
      <c r="A108" s="8"/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R108" s="8"/>
      <c r="S108" s="8"/>
      <c r="T108" s="8"/>
      <c r="U108" s="8"/>
      <c r="V108" s="8"/>
      <c r="W108" s="70"/>
      <c r="X108" s="8"/>
      <c r="Y108" s="8"/>
      <c r="Z108" s="8"/>
    </row>
    <row r="109" spans="1:26" s="69" customFormat="1" x14ac:dyDescent="0.3">
      <c r="A109" s="8"/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R109" s="8"/>
      <c r="S109" s="8"/>
      <c r="T109" s="8"/>
      <c r="U109" s="8"/>
      <c r="V109" s="8"/>
      <c r="W109" s="70"/>
      <c r="X109" s="8"/>
      <c r="Y109" s="8"/>
      <c r="Z109" s="8"/>
    </row>
    <row r="110" spans="1:26" s="69" customFormat="1" x14ac:dyDescent="0.3">
      <c r="A110" s="8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R110" s="8"/>
      <c r="S110" s="8"/>
      <c r="T110" s="8"/>
      <c r="U110" s="8"/>
      <c r="V110" s="8"/>
      <c r="W110" s="70"/>
      <c r="X110" s="8"/>
      <c r="Y110" s="8"/>
      <c r="Z110" s="8"/>
    </row>
    <row r="111" spans="1:26" s="69" customFormat="1" x14ac:dyDescent="0.3">
      <c r="A111" s="8"/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R111" s="8"/>
      <c r="S111" s="8"/>
      <c r="T111" s="8"/>
      <c r="U111" s="8"/>
      <c r="V111" s="8"/>
      <c r="W111" s="70"/>
      <c r="X111" s="8"/>
      <c r="Y111" s="8"/>
      <c r="Z111" s="8"/>
    </row>
    <row r="112" spans="1:26" s="69" customFormat="1" x14ac:dyDescent="0.3">
      <c r="A112" s="8"/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R112" s="8"/>
      <c r="S112" s="8"/>
      <c r="T112" s="8"/>
      <c r="U112" s="8"/>
      <c r="V112" s="8"/>
      <c r="W112" s="70"/>
      <c r="X112" s="8"/>
      <c r="Y112" s="8"/>
      <c r="Z112" s="8"/>
    </row>
    <row r="113" spans="1:26" s="69" customFormat="1" x14ac:dyDescent="0.3">
      <c r="A113" s="8"/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R113" s="8"/>
      <c r="S113" s="8"/>
      <c r="T113" s="8"/>
      <c r="U113" s="8"/>
      <c r="V113" s="8"/>
      <c r="W113" s="70"/>
      <c r="X113" s="8"/>
      <c r="Y113" s="8"/>
      <c r="Z113" s="8"/>
    </row>
    <row r="114" spans="1:26" s="69" customFormat="1" x14ac:dyDescent="0.3">
      <c r="A114" s="8"/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R114" s="8"/>
      <c r="S114" s="8"/>
      <c r="T114" s="8"/>
      <c r="U114" s="8"/>
      <c r="V114" s="8"/>
      <c r="W114" s="70"/>
      <c r="X114" s="8"/>
      <c r="Y114" s="8"/>
      <c r="Z114" s="8"/>
    </row>
    <row r="115" spans="1:26" s="69" customFormat="1" x14ac:dyDescent="0.3">
      <c r="A115" s="8"/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R115" s="8"/>
      <c r="S115" s="8"/>
      <c r="T115" s="8"/>
      <c r="U115" s="8"/>
      <c r="V115" s="8"/>
      <c r="W115" s="70"/>
      <c r="X115" s="8"/>
      <c r="Y115" s="8"/>
      <c r="Z115" s="8"/>
    </row>
    <row r="116" spans="1:26" s="69" customFormat="1" x14ac:dyDescent="0.3">
      <c r="A116" s="8"/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R116" s="8"/>
      <c r="S116" s="8"/>
      <c r="T116" s="8"/>
      <c r="U116" s="8"/>
      <c r="V116" s="8"/>
      <c r="W116" s="70"/>
      <c r="X116" s="8"/>
      <c r="Y116" s="8"/>
      <c r="Z116" s="8"/>
    </row>
    <row r="117" spans="1:26" s="69" customFormat="1" x14ac:dyDescent="0.3">
      <c r="A117" s="8"/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R117" s="8"/>
      <c r="S117" s="8"/>
      <c r="T117" s="8"/>
      <c r="U117" s="8"/>
      <c r="V117" s="8"/>
      <c r="W117" s="70"/>
      <c r="X117" s="8"/>
      <c r="Y117" s="8"/>
      <c r="Z117" s="8"/>
    </row>
    <row r="118" spans="1:26" s="69" customFormat="1" x14ac:dyDescent="0.3">
      <c r="A118" s="8"/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R118" s="8"/>
      <c r="S118" s="8"/>
      <c r="T118" s="8"/>
      <c r="U118" s="8"/>
      <c r="V118" s="8"/>
      <c r="W118" s="70"/>
      <c r="X118" s="8"/>
      <c r="Y118" s="8"/>
      <c r="Z118" s="8"/>
    </row>
    <row r="119" spans="1:26" s="69" customFormat="1" x14ac:dyDescent="0.3">
      <c r="A119" s="8"/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R119" s="8"/>
      <c r="S119" s="8"/>
      <c r="T119" s="8"/>
      <c r="U119" s="8"/>
      <c r="V119" s="8"/>
      <c r="W119" s="70"/>
      <c r="X119" s="8"/>
      <c r="Y119" s="8"/>
      <c r="Z119" s="8"/>
    </row>
    <row r="120" spans="1:26" s="69" customFormat="1" x14ac:dyDescent="0.3">
      <c r="A120" s="8"/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R120" s="8"/>
      <c r="S120" s="8"/>
      <c r="T120" s="8"/>
      <c r="U120" s="8"/>
      <c r="V120" s="8"/>
      <c r="W120" s="70"/>
      <c r="X120" s="8"/>
      <c r="Y120" s="8"/>
      <c r="Z120" s="8"/>
    </row>
    <row r="121" spans="1:26" s="69" customFormat="1" x14ac:dyDescent="0.3">
      <c r="A121" s="8"/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R121" s="8"/>
      <c r="S121" s="8"/>
      <c r="T121" s="8"/>
      <c r="U121" s="8"/>
      <c r="V121" s="8"/>
      <c r="W121" s="70"/>
      <c r="X121" s="8"/>
      <c r="Y121" s="8"/>
      <c r="Z121" s="8"/>
    </row>
    <row r="122" spans="1:26" s="69" customFormat="1" x14ac:dyDescent="0.3">
      <c r="A122" s="8"/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R122" s="8"/>
      <c r="S122" s="8"/>
      <c r="T122" s="8"/>
      <c r="U122" s="8"/>
      <c r="V122" s="8"/>
      <c r="W122" s="70"/>
      <c r="X122" s="8"/>
      <c r="Y122" s="8"/>
      <c r="Z122" s="8"/>
    </row>
    <row r="123" spans="1:26" s="69" customFormat="1" x14ac:dyDescent="0.3">
      <c r="A123" s="8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R123" s="8"/>
      <c r="S123" s="8"/>
      <c r="T123" s="8"/>
      <c r="U123" s="8"/>
      <c r="V123" s="8"/>
      <c r="W123" s="70"/>
      <c r="X123" s="8"/>
      <c r="Y123" s="8"/>
      <c r="Z123" s="8"/>
    </row>
    <row r="124" spans="1:26" s="69" customFormat="1" x14ac:dyDescent="0.3">
      <c r="A124" s="8"/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R124" s="8"/>
      <c r="S124" s="8"/>
      <c r="T124" s="8"/>
      <c r="U124" s="8"/>
      <c r="V124" s="8"/>
      <c r="W124" s="70"/>
      <c r="X124" s="8"/>
      <c r="Y124" s="8"/>
      <c r="Z124" s="8"/>
    </row>
    <row r="125" spans="1:26" s="69" customFormat="1" x14ac:dyDescent="0.3">
      <c r="A125" s="8"/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R125" s="8"/>
      <c r="S125" s="8"/>
      <c r="T125" s="8"/>
      <c r="U125" s="8"/>
      <c r="V125" s="8"/>
      <c r="W125" s="70"/>
      <c r="X125" s="8"/>
      <c r="Y125" s="8"/>
      <c r="Z125" s="8"/>
    </row>
    <row r="126" spans="1:26" s="69" customFormat="1" x14ac:dyDescent="0.3">
      <c r="A126" s="8"/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R126" s="8"/>
      <c r="S126" s="8"/>
      <c r="T126" s="8"/>
      <c r="U126" s="8"/>
      <c r="V126" s="8"/>
      <c r="W126" s="70"/>
      <c r="X126" s="8"/>
      <c r="Y126" s="8"/>
      <c r="Z126" s="8"/>
    </row>
    <row r="127" spans="1:26" s="69" customFormat="1" x14ac:dyDescent="0.3">
      <c r="A127" s="8"/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R127" s="8"/>
      <c r="S127" s="8"/>
      <c r="T127" s="8"/>
      <c r="U127" s="8"/>
      <c r="V127" s="8"/>
      <c r="W127" s="70"/>
      <c r="X127" s="8"/>
      <c r="Y127" s="8"/>
      <c r="Z127" s="8"/>
    </row>
    <row r="128" spans="1:26" s="69" customFormat="1" x14ac:dyDescent="0.3">
      <c r="A128" s="8"/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R128" s="8"/>
      <c r="S128" s="8"/>
      <c r="T128" s="8"/>
      <c r="U128" s="8"/>
      <c r="V128" s="8"/>
      <c r="W128" s="70"/>
      <c r="X128" s="8"/>
      <c r="Y128" s="8"/>
      <c r="Z128" s="8"/>
    </row>
    <row r="129" spans="1:26" s="69" customFormat="1" x14ac:dyDescent="0.3">
      <c r="A129" s="8"/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R129" s="8"/>
      <c r="S129" s="8"/>
      <c r="T129" s="8"/>
      <c r="U129" s="8"/>
      <c r="V129" s="8"/>
      <c r="W129" s="70"/>
      <c r="X129" s="8"/>
      <c r="Y129" s="8"/>
      <c r="Z129" s="8"/>
    </row>
    <row r="130" spans="1:26" s="69" customFormat="1" x14ac:dyDescent="0.3">
      <c r="A130" s="8"/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R130" s="8"/>
      <c r="S130" s="8"/>
      <c r="T130" s="8"/>
      <c r="U130" s="8"/>
      <c r="V130" s="8"/>
      <c r="W130" s="70"/>
      <c r="X130" s="8"/>
      <c r="Y130" s="8"/>
      <c r="Z130" s="8"/>
    </row>
    <row r="131" spans="1:26" s="69" customFormat="1" x14ac:dyDescent="0.3">
      <c r="A131" s="8"/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R131" s="8"/>
      <c r="S131" s="8"/>
      <c r="T131" s="8"/>
      <c r="U131" s="8"/>
      <c r="V131" s="8"/>
      <c r="W131" s="70"/>
      <c r="X131" s="8"/>
      <c r="Y131" s="8"/>
      <c r="Z131" s="8"/>
    </row>
    <row r="132" spans="1:26" s="69" customFormat="1" x14ac:dyDescent="0.3">
      <c r="A132" s="8"/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R132" s="8"/>
      <c r="S132" s="8"/>
      <c r="T132" s="8"/>
      <c r="U132" s="8"/>
      <c r="V132" s="8"/>
      <c r="W132" s="70"/>
      <c r="X132" s="8"/>
      <c r="Y132" s="8"/>
      <c r="Z132" s="8"/>
    </row>
    <row r="133" spans="1:26" s="69" customFormat="1" x14ac:dyDescent="0.3">
      <c r="A133" s="8"/>
      <c r="B133" s="64"/>
      <c r="M133" s="70"/>
      <c r="N133" s="8"/>
      <c r="O133" s="8"/>
      <c r="R133" s="8"/>
      <c r="S133" s="8"/>
      <c r="T133" s="8"/>
      <c r="U133" s="8"/>
      <c r="V133" s="8"/>
      <c r="W133" s="70"/>
      <c r="X133" s="8"/>
      <c r="Y133" s="8"/>
      <c r="Z133" s="8"/>
    </row>
  </sheetData>
  <sortState ref="B9:Q35">
    <sortCondition ref="B9"/>
  </sortState>
  <mergeCells count="15">
    <mergeCell ref="B5:B7"/>
    <mergeCell ref="A1:R1"/>
    <mergeCell ref="A2:R2"/>
    <mergeCell ref="F6:G6"/>
    <mergeCell ref="E6:E7"/>
    <mergeCell ref="C6:D6"/>
    <mergeCell ref="M5:Q5"/>
    <mergeCell ref="H5:L5"/>
    <mergeCell ref="C5:G5"/>
    <mergeCell ref="J6:J7"/>
    <mergeCell ref="K6:L6"/>
    <mergeCell ref="M6:N6"/>
    <mergeCell ref="O6:O7"/>
    <mergeCell ref="P6:Q6"/>
    <mergeCell ref="H6:I6"/>
  </mergeCells>
  <conditionalFormatting sqref="V50:V104857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{53F73DE2-9566-4C1F-B9A6-F8A78FAC77BD}</x14:id>
        </ext>
      </extLst>
    </cfRule>
  </conditionalFormatting>
  <conditionalFormatting sqref="U50:U104857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{AC09DB02-084A-419D-B4AE-F1488BEEAFED}</x14:id>
        </ext>
      </extLst>
    </cfRule>
  </conditionalFormatting>
  <conditionalFormatting sqref="N2:N5 N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{C9250057-23BD-4888-A20C-F7D77F125F4B}</x14:id>
        </ext>
      </extLst>
    </cfRule>
  </conditionalFormatting>
  <conditionalFormatting sqref="M2:M5 M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{071A77A7-CB84-409A-9B7D-8055EA43D501}</x14:id>
        </ext>
      </extLst>
    </cfRule>
  </conditionalFormatting>
  <conditionalFormatting sqref="M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{3C35320B-4813-472B-A046-26F06173A324}</x14:id>
        </ext>
      </extLst>
    </cfRule>
  </conditionalFormatting>
  <conditionalFormatting sqref="N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{B601EA45-63FD-4ECF-917F-0C9301AD20F6}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73DE2-9566-4C1F-B9A6-F8A78FAC7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V50:V1048576</xm:sqref>
        </x14:conditionalFormatting>
        <x14:conditionalFormatting xmlns:xm="http://schemas.microsoft.com/office/excel/2006/main">
          <x14:cfRule type="dataBar" id="{AC09DB02-084A-419D-B4AE-F1488BEEAF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U50:U1048576</xm:sqref>
        </x14:conditionalFormatting>
        <x14:conditionalFormatting xmlns:xm="http://schemas.microsoft.com/office/excel/2006/main">
          <x14:cfRule type="dataBar" id="{C9250057-23BD-4888-A20C-F7D77F125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N2:N5 N7</xm:sqref>
        </x14:conditionalFormatting>
        <x14:conditionalFormatting xmlns:xm="http://schemas.microsoft.com/office/excel/2006/main">
          <x14:cfRule type="dataBar" id="{071A77A7-CB84-409A-9B7D-8055EA43D5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M2:M5 M7</xm:sqref>
        </x14:conditionalFormatting>
        <x14:conditionalFormatting xmlns:xm="http://schemas.microsoft.com/office/excel/2006/main">
          <x14:cfRule type="dataBar" id="{3C35320B-4813-472B-A046-26F06173A3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</xm:sqref>
        </x14:conditionalFormatting>
        <x14:conditionalFormatting xmlns:xm="http://schemas.microsoft.com/office/excel/2006/main">
          <x14:cfRule type="dataBar" id="{B601EA45-63FD-4ECF-917F-0C9301AD20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</xm:sqref>
        </x14:conditionalFormatting>
        <x14:conditionalFormatting xmlns:xm="http://schemas.microsoft.com/office/excel/2006/main">
          <x14:cfRule type="iconSet" priority="12" id="{097FC54F-E567-41C6-96F5-B936FF754DA0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W50:W1048576</xm:sqref>
        </x14:conditionalFormatting>
        <x14:conditionalFormatting xmlns:xm="http://schemas.microsoft.com/office/excel/2006/main">
          <x14:cfRule type="iconSet" priority="4" id="{26A9C6A1-758B-4401-B5E1-281E613C52FA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O2:O7</xm:sqref>
        </x14:conditionalFormatting>
        <x14:conditionalFormatting xmlns:xm="http://schemas.microsoft.com/office/excel/2006/main">
          <x14:cfRule type="iconSet" priority="1" id="{FD702804-7976-4CE6-828A-A383B19F6024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31"/>
  <sheetViews>
    <sheetView showGridLines="0" zoomScale="90" zoomScaleNormal="90" workbookViewId="0">
      <selection activeCell="B3" sqref="B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4.59765625" style="8" customWidth="1"/>
    <col min="5" max="5" width="13.296875" style="8" customWidth="1"/>
    <col min="6" max="6" width="19.59765625" style="8" bestFit="1" customWidth="1"/>
    <col min="7" max="7" width="10.59765625" style="8" bestFit="1" customWidth="1"/>
    <col min="8" max="8" width="15.3984375" style="8" customWidth="1"/>
    <col min="9" max="9" width="1.59765625" style="8" customWidth="1"/>
    <col min="10" max="10" width="7.296875" style="8" customWidth="1"/>
    <col min="11" max="16384" width="9.296875" style="8"/>
  </cols>
  <sheetData>
    <row r="1" spans="1:10" s="22" customFormat="1" ht="58.85" customHeight="1" x14ac:dyDescent="0.35">
      <c r="A1" s="61"/>
      <c r="B1" s="336" t="s">
        <v>289</v>
      </c>
      <c r="C1" s="336"/>
      <c r="D1" s="336"/>
      <c r="E1" s="336"/>
      <c r="F1" s="336"/>
      <c r="G1" s="336"/>
      <c r="H1" s="336"/>
      <c r="I1" s="336"/>
      <c r="J1" s="336"/>
    </row>
    <row r="2" spans="1:10" s="22" customFormat="1" ht="13.15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</row>
    <row r="4" spans="1:10" ht="14.95" thickBot="1" x14ac:dyDescent="0.35"/>
    <row r="5" spans="1:10" s="62" customFormat="1" ht="10.55" customHeight="1" x14ac:dyDescent="0.3">
      <c r="B5" s="350"/>
      <c r="C5" s="352" t="s">
        <v>40</v>
      </c>
      <c r="D5" s="4" t="s">
        <v>37</v>
      </c>
      <c r="E5" s="4" t="s">
        <v>38</v>
      </c>
      <c r="F5" s="4" t="s">
        <v>37</v>
      </c>
      <c r="G5" s="4" t="s">
        <v>38</v>
      </c>
      <c r="H5" s="4" t="s">
        <v>62</v>
      </c>
      <c r="I5" s="74"/>
    </row>
    <row r="6" spans="1:10" s="63" customFormat="1" ht="14.95" thickBot="1" x14ac:dyDescent="0.35">
      <c r="B6" s="351"/>
      <c r="C6" s="353"/>
      <c r="D6" s="24" t="s">
        <v>125</v>
      </c>
      <c r="E6" s="24">
        <v>2013</v>
      </c>
      <c r="F6" s="24" t="s">
        <v>126</v>
      </c>
      <c r="G6" s="24">
        <v>2014</v>
      </c>
      <c r="H6" s="24" t="s">
        <v>283</v>
      </c>
      <c r="I6" s="68"/>
    </row>
    <row r="7" spans="1:10" s="64" customFormat="1" ht="3.75" customHeight="1" x14ac:dyDescent="0.3">
      <c r="B7" s="59"/>
      <c r="C7" s="60"/>
      <c r="D7" s="100"/>
      <c r="E7" s="100"/>
      <c r="F7" s="100"/>
      <c r="G7" s="100"/>
      <c r="H7" s="100"/>
      <c r="I7" s="58"/>
    </row>
    <row r="8" spans="1:10" ht="21.75" customHeight="1" x14ac:dyDescent="0.3">
      <c r="C8" s="75" t="s" vm="48">
        <v>272</v>
      </c>
      <c r="D8" s="158" vm="1439">
        <v>357878929.65999997</v>
      </c>
      <c r="E8" s="170">
        <v>5.16</v>
      </c>
      <c r="F8" s="158" vm="425">
        <v>337100673.13999981</v>
      </c>
      <c r="G8" s="170">
        <v>5.14</v>
      </c>
      <c r="H8" s="175">
        <v>94.194054246294868</v>
      </c>
    </row>
    <row r="9" spans="1:10" ht="21.75" customHeight="1" x14ac:dyDescent="0.3">
      <c r="C9" s="75" t="s" vm="45">
        <v>278</v>
      </c>
      <c r="D9" s="162" vm="1155">
        <v>194903254.98000002</v>
      </c>
      <c r="E9" s="170">
        <v>2.81</v>
      </c>
      <c r="F9" s="162" vm="529">
        <v>220255827.34999996</v>
      </c>
      <c r="G9" s="170">
        <v>3.36</v>
      </c>
      <c r="H9" s="175">
        <v>113.00777268835324</v>
      </c>
    </row>
    <row r="10" spans="1:10" ht="21.75" customHeight="1" x14ac:dyDescent="0.3">
      <c r="C10" s="75" t="s" vm="36">
        <v>249</v>
      </c>
      <c r="D10" s="162" vm="1470">
        <v>512752402.85000002</v>
      </c>
      <c r="E10" s="170">
        <v>7.4</v>
      </c>
      <c r="F10" s="162" vm="443">
        <v>491992712.24999994</v>
      </c>
      <c r="G10" s="170">
        <v>7.5</v>
      </c>
      <c r="H10" s="175">
        <v>95.951322610169584</v>
      </c>
    </row>
    <row r="11" spans="1:10" ht="21.75" customHeight="1" x14ac:dyDescent="0.3">
      <c r="C11" s="75" t="s" vm="51">
        <v>251</v>
      </c>
      <c r="D11" s="162" vm="698">
        <v>3986603.27</v>
      </c>
      <c r="E11" s="170">
        <v>0.06</v>
      </c>
      <c r="F11" s="162" vm="513">
        <v>3770538.7900000005</v>
      </c>
      <c r="G11" s="170">
        <v>0.06</v>
      </c>
      <c r="H11" s="175">
        <v>94.580236222000607</v>
      </c>
    </row>
    <row r="12" spans="1:10" ht="21.75" customHeight="1" x14ac:dyDescent="0.3">
      <c r="C12" s="75" t="s" vm="38">
        <v>254</v>
      </c>
      <c r="D12" s="162" vm="726">
        <v>7450034.6600000001</v>
      </c>
      <c r="E12" s="170">
        <v>0.11</v>
      </c>
      <c r="F12" s="162" vm="488">
        <v>6081087.2499999991</v>
      </c>
      <c r="G12" s="170">
        <v>0.09</v>
      </c>
      <c r="H12" s="175">
        <v>81.624952466999645</v>
      </c>
    </row>
    <row r="13" spans="1:10" ht="21.75" customHeight="1" x14ac:dyDescent="0.3">
      <c r="C13" s="75" t="s" vm="44">
        <v>261</v>
      </c>
      <c r="D13" s="162" vm="1207">
        <v>162682434.59999999</v>
      </c>
      <c r="E13" s="170">
        <v>2.35</v>
      </c>
      <c r="F13" s="162" vm="440">
        <v>148382037.67000002</v>
      </c>
      <c r="G13" s="170">
        <v>2.2599999999999998</v>
      </c>
      <c r="H13" s="175">
        <v>91.209624465504533</v>
      </c>
    </row>
    <row r="14" spans="1:10" ht="21.75" customHeight="1" x14ac:dyDescent="0.3">
      <c r="C14" s="75" t="s" vm="35">
        <v>225</v>
      </c>
      <c r="D14" s="162" vm="1234">
        <v>46103500.650000013</v>
      </c>
      <c r="E14" s="170">
        <v>0.66</v>
      </c>
      <c r="F14" s="162" vm="587">
        <v>36808410.95000001</v>
      </c>
      <c r="G14" s="170">
        <v>0.56000000000000005</v>
      </c>
      <c r="H14" s="175">
        <v>79.838646590928661</v>
      </c>
    </row>
    <row r="15" spans="1:10" ht="21.75" customHeight="1" x14ac:dyDescent="0.3">
      <c r="C15" s="75" t="s" vm="50">
        <v>229</v>
      </c>
      <c r="D15" s="162" vm="1079">
        <v>483146510.13999999</v>
      </c>
      <c r="E15" s="170">
        <v>6.97</v>
      </c>
      <c r="F15" s="162" vm="498">
        <v>469633901.9199999</v>
      </c>
      <c r="G15" s="170">
        <v>7.16</v>
      </c>
      <c r="H15" s="175">
        <v>97.20320690796575</v>
      </c>
    </row>
    <row r="16" spans="1:10" ht="21.75" customHeight="1" x14ac:dyDescent="0.3">
      <c r="C16" s="75" t="s" vm="47">
        <v>243</v>
      </c>
      <c r="D16" s="162" vm="1372">
        <v>566397336.58999979</v>
      </c>
      <c r="E16" s="170">
        <v>8.17</v>
      </c>
      <c r="F16" s="162" vm="637">
        <v>505394084.68999988</v>
      </c>
      <c r="G16" s="170">
        <v>7.7</v>
      </c>
      <c r="H16" s="175">
        <v>89.229601207648585</v>
      </c>
    </row>
    <row r="17" spans="3:8" ht="21.75" customHeight="1" x14ac:dyDescent="0.3">
      <c r="C17" s="75" t="s" vm="43">
        <v>210</v>
      </c>
      <c r="D17" s="162" vm="1082">
        <v>2280020176.2299995</v>
      </c>
      <c r="E17" s="170">
        <v>32.89</v>
      </c>
      <c r="F17" s="162" vm="519">
        <v>1899500994.6300001</v>
      </c>
      <c r="G17" s="170">
        <v>28.95</v>
      </c>
      <c r="H17" s="175">
        <v>83.310709897787589</v>
      </c>
    </row>
    <row r="18" spans="3:8" ht="21.75" customHeight="1" x14ac:dyDescent="0.3">
      <c r="C18" s="75" t="s" vm="34">
        <v>213</v>
      </c>
      <c r="D18" s="162" vm="1133">
        <v>5459952.1599999992</v>
      </c>
      <c r="E18" s="170">
        <v>0.08</v>
      </c>
      <c r="F18" s="162" vm="562">
        <v>3689348.3200000003</v>
      </c>
      <c r="G18" s="170">
        <v>0.06</v>
      </c>
      <c r="H18" s="175">
        <v>67.571074102598018</v>
      </c>
    </row>
    <row r="19" spans="3:8" ht="21.75" customHeight="1" x14ac:dyDescent="0.3">
      <c r="C19" s="75" t="s" vm="39">
        <v>218</v>
      </c>
      <c r="D19" s="162" vm="1558">
        <v>36236294.220000006</v>
      </c>
      <c r="E19" s="170">
        <v>0.52</v>
      </c>
      <c r="F19" s="162" vm="479">
        <v>38550016.239999995</v>
      </c>
      <c r="G19" s="170">
        <v>0.59</v>
      </c>
      <c r="H19" s="175">
        <v>106.38509557835241</v>
      </c>
    </row>
    <row r="20" spans="3:8" ht="21.75" customHeight="1" x14ac:dyDescent="0.3">
      <c r="C20" s="75" t="s" vm="37">
        <v>203</v>
      </c>
      <c r="D20" s="162" vm="775">
        <v>234781370.98999986</v>
      </c>
      <c r="E20" s="170">
        <v>3.39</v>
      </c>
      <c r="F20" s="162" vm="460">
        <v>228365397.98000002</v>
      </c>
      <c r="G20" s="170">
        <v>3.48</v>
      </c>
      <c r="H20" s="175">
        <v>97.267256348770061</v>
      </c>
    </row>
    <row r="21" spans="3:8" ht="21.75" customHeight="1" x14ac:dyDescent="0.3">
      <c r="C21" s="75" t="s" vm="42">
        <v>162</v>
      </c>
      <c r="D21" s="162" vm="1018">
        <v>111116745.47000001</v>
      </c>
      <c r="E21" s="170">
        <v>1.6</v>
      </c>
      <c r="F21" s="162" vm="490">
        <v>149664073.59</v>
      </c>
      <c r="G21" s="170">
        <v>2.2799999999999998</v>
      </c>
      <c r="H21" s="175">
        <v>134.69083616241014</v>
      </c>
    </row>
    <row r="22" spans="3:8" ht="21.75" customHeight="1" x14ac:dyDescent="0.3">
      <c r="C22" s="75" t="s" vm="33">
        <v>165</v>
      </c>
      <c r="D22" s="162" vm="1458">
        <v>4517081.0299999993</v>
      </c>
      <c r="E22" s="170">
        <v>7.0000000000000007E-2</v>
      </c>
      <c r="F22" s="162" vm="606">
        <v>4412544.1700000009</v>
      </c>
      <c r="G22" s="170">
        <v>7.0000000000000007E-2</v>
      </c>
      <c r="H22" s="175">
        <v>97.685743087057304</v>
      </c>
    </row>
    <row r="23" spans="3:8" ht="21.75" customHeight="1" x14ac:dyDescent="0.3">
      <c r="C23" s="75" t="s" vm="49">
        <v>172</v>
      </c>
      <c r="D23" s="162" vm="926">
        <v>70584776.810000002</v>
      </c>
      <c r="E23" s="170">
        <v>1.02</v>
      </c>
      <c r="F23" s="162" vm="428">
        <v>88628849.169999972</v>
      </c>
      <c r="G23" s="170">
        <v>1.35</v>
      </c>
      <c r="H23" s="175">
        <v>125.56368834114326</v>
      </c>
    </row>
    <row r="24" spans="3:8" ht="21.75" customHeight="1" x14ac:dyDescent="0.3">
      <c r="C24" s="75" t="s" vm="46">
        <v>174</v>
      </c>
      <c r="D24" s="162" vm="807">
        <v>1833043.2299999997</v>
      </c>
      <c r="E24" s="170">
        <v>0.03</v>
      </c>
      <c r="F24" s="162" vm="431">
        <v>1850956.9800000002</v>
      </c>
      <c r="G24" s="170">
        <v>0.03</v>
      </c>
      <c r="H24" s="175">
        <v>100.97726827751904</v>
      </c>
    </row>
    <row r="25" spans="3:8" ht="21.75" customHeight="1" thickBot="1" x14ac:dyDescent="0.35">
      <c r="C25" s="93" t="s" vm="41">
        <v>179</v>
      </c>
      <c r="D25" s="163" vm="718">
        <v>40366099.460000001</v>
      </c>
      <c r="E25" s="171">
        <v>0.57999999999999996</v>
      </c>
      <c r="F25" s="163" vm="441">
        <v>39492430.520000003</v>
      </c>
      <c r="G25" s="171">
        <v>0.6</v>
      </c>
      <c r="H25" s="176">
        <v>97.835636953563608</v>
      </c>
    </row>
    <row r="26" spans="3:8" ht="21.75" customHeight="1" x14ac:dyDescent="0.3">
      <c r="C26" s="94" t="s" vm="199">
        <v>136</v>
      </c>
      <c r="D26" s="164" vm="773">
        <v>1577471949.4100003</v>
      </c>
      <c r="E26" s="172">
        <v>22.75</v>
      </c>
      <c r="F26" s="164" vm="547">
        <v>1679411720.2099996</v>
      </c>
      <c r="G26" s="172">
        <v>25.6</v>
      </c>
      <c r="H26" s="177">
        <v>106.46222399315096</v>
      </c>
    </row>
    <row r="27" spans="3:8" ht="21.75" customHeight="1" x14ac:dyDescent="0.3">
      <c r="C27" s="75" t="s" vm="182">
        <v>140</v>
      </c>
      <c r="D27" s="162" vm="976">
        <v>7899665.6899999995</v>
      </c>
      <c r="E27" s="170">
        <v>0.11</v>
      </c>
      <c r="F27" s="162" vm="423">
        <v>15126515.149999999</v>
      </c>
      <c r="G27" s="170">
        <v>0.23</v>
      </c>
      <c r="H27" s="175">
        <v>191.48297843981291</v>
      </c>
    </row>
    <row r="28" spans="3:8" ht="21.75" customHeight="1" x14ac:dyDescent="0.3">
      <c r="C28" s="75" t="s" vm="180">
        <v>144</v>
      </c>
      <c r="D28" s="162" vm="1612">
        <v>114739652.33000001</v>
      </c>
      <c r="E28" s="170">
        <v>1.65</v>
      </c>
      <c r="F28" s="162" vm="462">
        <v>110258503.81000002</v>
      </c>
      <c r="G28" s="170">
        <v>1.68</v>
      </c>
      <c r="H28" s="175">
        <v>96.09450749675284</v>
      </c>
    </row>
    <row r="29" spans="3:8" ht="21.75" customHeight="1" x14ac:dyDescent="0.3">
      <c r="C29" s="75" t="s" vm="178">
        <v>146</v>
      </c>
      <c r="D29" s="162" vm="752">
        <v>5420192.0899999989</v>
      </c>
      <c r="E29" s="170">
        <v>0.08</v>
      </c>
      <c r="F29" s="162" vm="651">
        <v>4830099.57</v>
      </c>
      <c r="G29" s="170">
        <v>7.0000000000000007E-2</v>
      </c>
      <c r="H29" s="175">
        <v>89.113069976086422</v>
      </c>
    </row>
    <row r="30" spans="3:8" ht="21.75" customHeight="1" x14ac:dyDescent="0.3">
      <c r="C30" s="75" t="s" vm="177">
        <v>152</v>
      </c>
      <c r="D30" s="162" vm="870">
        <v>107320918.21000001</v>
      </c>
      <c r="E30" s="170">
        <v>1.55</v>
      </c>
      <c r="F30" s="162" vm="454">
        <v>77516245.179999992</v>
      </c>
      <c r="G30" s="170">
        <v>1.18</v>
      </c>
      <c r="H30" s="175">
        <v>72.228458787801486</v>
      </c>
    </row>
    <row r="31" spans="3:8" ht="21.75" customHeight="1" x14ac:dyDescent="0.3">
      <c r="C31" s="75" t="s" vm="174">
        <v>154</v>
      </c>
      <c r="D31" s="162" vm="1081">
        <v>0</v>
      </c>
      <c r="E31" s="170">
        <v>0</v>
      </c>
      <c r="F31" s="162" vm="594">
        <v>0</v>
      </c>
      <c r="G31" s="170">
        <v>0</v>
      </c>
      <c r="H31" s="175" t="s">
        <v>127</v>
      </c>
    </row>
    <row r="32" spans="3:8" ht="21.75" customHeight="1" x14ac:dyDescent="0.3">
      <c r="C32" s="75" t="s" vm="173">
        <v>156</v>
      </c>
      <c r="D32" s="162" vm="874">
        <v>0</v>
      </c>
      <c r="E32" s="170">
        <v>0</v>
      </c>
      <c r="F32" s="162" vm="459">
        <v>0</v>
      </c>
      <c r="G32" s="170">
        <v>0</v>
      </c>
      <c r="H32" s="175" t="s">
        <v>127</v>
      </c>
    </row>
    <row r="33" spans="3:8" ht="21.75" customHeight="1" x14ac:dyDescent="0.3">
      <c r="C33" s="56" t="s" vm="40">
        <v>284</v>
      </c>
      <c r="D33" s="165" vm="1333">
        <v>5120216546.999999</v>
      </c>
      <c r="E33" s="173">
        <v>73.849999999999994</v>
      </c>
      <c r="F33" s="165" vm="591">
        <v>4673573885.6099997</v>
      </c>
      <c r="G33" s="173">
        <v>71.239999999999995</v>
      </c>
      <c r="H33" s="178">
        <v>91.276879458317183</v>
      </c>
    </row>
    <row r="34" spans="3:8" ht="21.75" customHeight="1" thickBot="1" x14ac:dyDescent="0.35">
      <c r="C34" s="56" t="s" vm="32">
        <v>285</v>
      </c>
      <c r="D34" s="165" vm="1585">
        <v>1812852377.7300003</v>
      </c>
      <c r="E34" s="173">
        <v>26.15</v>
      </c>
      <c r="F34" s="165" vm="611">
        <v>1887143083.9199996</v>
      </c>
      <c r="G34" s="173">
        <v>28.76</v>
      </c>
      <c r="H34" s="178">
        <v>104.09800086883104</v>
      </c>
    </row>
    <row r="35" spans="3:8" ht="21.75" customHeight="1" x14ac:dyDescent="0.3">
      <c r="C35" s="95" t="s" vm="31">
        <v>286</v>
      </c>
      <c r="D35" s="166" vm="768">
        <v>6933068924.7300034</v>
      </c>
      <c r="E35" s="174">
        <v>100</v>
      </c>
      <c r="F35" s="166" vm="628">
        <v>6560716969.5300007</v>
      </c>
      <c r="G35" s="174">
        <v>100</v>
      </c>
      <c r="H35" s="179">
        <v>94.629334292756894</v>
      </c>
    </row>
    <row r="36" spans="3:8" x14ac:dyDescent="0.3">
      <c r="D36" s="96"/>
    </row>
    <row r="37" spans="3:8" x14ac:dyDescent="0.3">
      <c r="D37" s="96"/>
    </row>
    <row r="38" spans="3:8" x14ac:dyDescent="0.3">
      <c r="D38" s="96"/>
    </row>
    <row r="39" spans="3:8" x14ac:dyDescent="0.3">
      <c r="D39" s="96"/>
    </row>
    <row r="40" spans="3:8" x14ac:dyDescent="0.3">
      <c r="D40" s="96"/>
    </row>
    <row r="41" spans="3:8" x14ac:dyDescent="0.3">
      <c r="D41" s="96"/>
    </row>
    <row r="42" spans="3:8" x14ac:dyDescent="0.3">
      <c r="D42" s="96"/>
    </row>
    <row r="43" spans="3:8" x14ac:dyDescent="0.3">
      <c r="D43" s="96"/>
    </row>
    <row r="44" spans="3:8" x14ac:dyDescent="0.3">
      <c r="D44" s="96"/>
    </row>
    <row r="45" spans="3:8" x14ac:dyDescent="0.3">
      <c r="D45" s="96"/>
    </row>
    <row r="46" spans="3:8" x14ac:dyDescent="0.3">
      <c r="D46" s="96"/>
    </row>
    <row r="47" spans="3:8" x14ac:dyDescent="0.3">
      <c r="D47" s="96"/>
    </row>
    <row r="48" spans="3:8" x14ac:dyDescent="0.3">
      <c r="D48" s="96"/>
    </row>
    <row r="49" spans="4:4" x14ac:dyDescent="0.3">
      <c r="D49" s="96"/>
    </row>
    <row r="50" spans="4:4" x14ac:dyDescent="0.3">
      <c r="D50" s="96"/>
    </row>
    <row r="51" spans="4:4" x14ac:dyDescent="0.3">
      <c r="D51" s="96"/>
    </row>
    <row r="52" spans="4:4" x14ac:dyDescent="0.3">
      <c r="D52" s="96"/>
    </row>
    <row r="53" spans="4:4" x14ac:dyDescent="0.3">
      <c r="D53" s="96"/>
    </row>
    <row r="54" spans="4:4" x14ac:dyDescent="0.3">
      <c r="D54" s="96"/>
    </row>
    <row r="55" spans="4:4" x14ac:dyDescent="0.3">
      <c r="D55" s="96"/>
    </row>
    <row r="56" spans="4:4" x14ac:dyDescent="0.3">
      <c r="D56" s="96"/>
    </row>
    <row r="57" spans="4:4" x14ac:dyDescent="0.3">
      <c r="D57" s="96"/>
    </row>
    <row r="58" spans="4:4" x14ac:dyDescent="0.3">
      <c r="D58" s="96"/>
    </row>
    <row r="59" spans="4:4" x14ac:dyDescent="0.3">
      <c r="D59" s="96"/>
    </row>
    <row r="60" spans="4:4" x14ac:dyDescent="0.3">
      <c r="D60" s="96"/>
    </row>
    <row r="61" spans="4:4" x14ac:dyDescent="0.3">
      <c r="D61" s="96"/>
    </row>
    <row r="62" spans="4:4" x14ac:dyDescent="0.3">
      <c r="D62" s="96"/>
    </row>
    <row r="63" spans="4:4" x14ac:dyDescent="0.3">
      <c r="D63" s="96"/>
    </row>
    <row r="64" spans="4:4" x14ac:dyDescent="0.3">
      <c r="D64" s="96"/>
    </row>
    <row r="65" spans="4:4" x14ac:dyDescent="0.3">
      <c r="D65" s="96"/>
    </row>
    <row r="66" spans="4:4" x14ac:dyDescent="0.3">
      <c r="D66" s="96"/>
    </row>
    <row r="67" spans="4:4" x14ac:dyDescent="0.3">
      <c r="D67" s="96"/>
    </row>
    <row r="68" spans="4:4" x14ac:dyDescent="0.3">
      <c r="D68" s="96"/>
    </row>
    <row r="69" spans="4:4" x14ac:dyDescent="0.3">
      <c r="D69" s="96"/>
    </row>
    <row r="70" spans="4:4" x14ac:dyDescent="0.3">
      <c r="D70" s="96"/>
    </row>
    <row r="71" spans="4:4" x14ac:dyDescent="0.3">
      <c r="D71" s="96"/>
    </row>
    <row r="72" spans="4:4" x14ac:dyDescent="0.3">
      <c r="D72" s="96"/>
    </row>
    <row r="73" spans="4:4" x14ac:dyDescent="0.3">
      <c r="D73" s="96"/>
    </row>
    <row r="74" spans="4:4" x14ac:dyDescent="0.3">
      <c r="D74" s="96"/>
    </row>
    <row r="75" spans="4:4" x14ac:dyDescent="0.3">
      <c r="D75" s="96"/>
    </row>
    <row r="76" spans="4:4" x14ac:dyDescent="0.3">
      <c r="D76" s="96"/>
    </row>
    <row r="77" spans="4:4" x14ac:dyDescent="0.3">
      <c r="D77" s="96"/>
    </row>
    <row r="78" spans="4:4" x14ac:dyDescent="0.3">
      <c r="D78" s="96"/>
    </row>
    <row r="79" spans="4:4" x14ac:dyDescent="0.3">
      <c r="D79" s="96"/>
    </row>
    <row r="80" spans="4:4" x14ac:dyDescent="0.3">
      <c r="D80" s="96"/>
    </row>
    <row r="81" spans="4:4" x14ac:dyDescent="0.3">
      <c r="D81" s="96"/>
    </row>
    <row r="82" spans="4:4" x14ac:dyDescent="0.3">
      <c r="D82" s="96"/>
    </row>
    <row r="83" spans="4:4" x14ac:dyDescent="0.3">
      <c r="D83" s="96"/>
    </row>
    <row r="84" spans="4:4" x14ac:dyDescent="0.3">
      <c r="D84" s="96"/>
    </row>
    <row r="85" spans="4:4" x14ac:dyDescent="0.3">
      <c r="D85" s="96"/>
    </row>
    <row r="86" spans="4:4" x14ac:dyDescent="0.3">
      <c r="D86" s="96"/>
    </row>
    <row r="87" spans="4:4" x14ac:dyDescent="0.3">
      <c r="D87" s="96"/>
    </row>
    <row r="88" spans="4:4" x14ac:dyDescent="0.3">
      <c r="D88" s="96"/>
    </row>
    <row r="89" spans="4:4" x14ac:dyDescent="0.3">
      <c r="D89" s="96"/>
    </row>
    <row r="90" spans="4:4" x14ac:dyDescent="0.3">
      <c r="D90" s="96"/>
    </row>
    <row r="91" spans="4:4" x14ac:dyDescent="0.3">
      <c r="D91" s="96"/>
    </row>
    <row r="92" spans="4:4" x14ac:dyDescent="0.3">
      <c r="D92" s="96"/>
    </row>
    <row r="93" spans="4:4" x14ac:dyDescent="0.3">
      <c r="D93" s="96"/>
    </row>
    <row r="94" spans="4:4" x14ac:dyDescent="0.3">
      <c r="D94" s="96"/>
    </row>
    <row r="95" spans="4:4" x14ac:dyDescent="0.3">
      <c r="D95" s="96"/>
    </row>
    <row r="96" spans="4:4" x14ac:dyDescent="0.3">
      <c r="D96" s="96"/>
    </row>
    <row r="97" spans="4:4" x14ac:dyDescent="0.3">
      <c r="D97" s="96"/>
    </row>
    <row r="98" spans="4:4" x14ac:dyDescent="0.3">
      <c r="D98" s="96"/>
    </row>
    <row r="99" spans="4:4" x14ac:dyDescent="0.3">
      <c r="D99" s="96"/>
    </row>
    <row r="100" spans="4:4" x14ac:dyDescent="0.3">
      <c r="D100" s="96"/>
    </row>
    <row r="101" spans="4:4" x14ac:dyDescent="0.3">
      <c r="D101" s="96"/>
    </row>
    <row r="102" spans="4:4" x14ac:dyDescent="0.3">
      <c r="D102" s="96"/>
    </row>
    <row r="103" spans="4:4" x14ac:dyDescent="0.3">
      <c r="D103" s="96"/>
    </row>
    <row r="104" spans="4:4" x14ac:dyDescent="0.3">
      <c r="D104" s="96"/>
    </row>
    <row r="105" spans="4:4" x14ac:dyDescent="0.3">
      <c r="D105" s="96"/>
    </row>
    <row r="106" spans="4:4" x14ac:dyDescent="0.3">
      <c r="D106" s="96"/>
    </row>
    <row r="107" spans="4:4" x14ac:dyDescent="0.3">
      <c r="D107" s="96"/>
    </row>
    <row r="108" spans="4:4" x14ac:dyDescent="0.3">
      <c r="D108" s="96"/>
    </row>
    <row r="109" spans="4:4" x14ac:dyDescent="0.3">
      <c r="D109" s="96"/>
    </row>
    <row r="110" spans="4:4" x14ac:dyDescent="0.3">
      <c r="D110" s="96"/>
    </row>
    <row r="111" spans="4:4" x14ac:dyDescent="0.3">
      <c r="D111" s="96"/>
    </row>
    <row r="112" spans="4:4" x14ac:dyDescent="0.3">
      <c r="D112" s="96"/>
    </row>
    <row r="113" spans="4:4" x14ac:dyDescent="0.3">
      <c r="D113" s="96"/>
    </row>
    <row r="114" spans="4:4" x14ac:dyDescent="0.3">
      <c r="D114" s="96"/>
    </row>
    <row r="115" spans="4:4" x14ac:dyDescent="0.3">
      <c r="D115" s="96"/>
    </row>
    <row r="116" spans="4:4" x14ac:dyDescent="0.3">
      <c r="D116" s="96"/>
    </row>
    <row r="117" spans="4:4" x14ac:dyDescent="0.3">
      <c r="D117" s="96"/>
    </row>
    <row r="118" spans="4:4" x14ac:dyDescent="0.3">
      <c r="D118" s="96"/>
    </row>
    <row r="119" spans="4:4" x14ac:dyDescent="0.3">
      <c r="D119" s="96"/>
    </row>
    <row r="120" spans="4:4" x14ac:dyDescent="0.3">
      <c r="D120" s="96"/>
    </row>
    <row r="121" spans="4:4" x14ac:dyDescent="0.3">
      <c r="D121" s="96"/>
    </row>
    <row r="122" spans="4:4" x14ac:dyDescent="0.3">
      <c r="D122" s="96"/>
    </row>
    <row r="123" spans="4:4" x14ac:dyDescent="0.3">
      <c r="D123" s="96"/>
    </row>
    <row r="124" spans="4:4" x14ac:dyDescent="0.3">
      <c r="D124" s="96"/>
    </row>
    <row r="125" spans="4:4" x14ac:dyDescent="0.3">
      <c r="D125" s="96"/>
    </row>
    <row r="126" spans="4:4" x14ac:dyDescent="0.3">
      <c r="D126" s="96"/>
    </row>
    <row r="127" spans="4:4" x14ac:dyDescent="0.3">
      <c r="D127" s="96"/>
    </row>
    <row r="128" spans="4:4" x14ac:dyDescent="0.3">
      <c r="D128" s="96"/>
    </row>
    <row r="129" spans="4:4" x14ac:dyDescent="0.3">
      <c r="D129" s="96"/>
    </row>
    <row r="130" spans="4:4" x14ac:dyDescent="0.3">
      <c r="D130" s="96"/>
    </row>
    <row r="131" spans="4:4" x14ac:dyDescent="0.3">
      <c r="D131" s="96"/>
    </row>
  </sheetData>
  <mergeCells count="3">
    <mergeCell ref="B5:B6"/>
    <mergeCell ref="C5:C6"/>
    <mergeCell ref="B1:J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1"/>
  <sheetViews>
    <sheetView showGridLines="0" zoomScale="90" zoomScaleNormal="90" workbookViewId="0">
      <selection activeCell="B3" sqref="B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3.296875" style="8" bestFit="1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5.3984375" style="8" customWidth="1"/>
    <col min="9" max="9" width="1.59765625" style="8" customWidth="1"/>
    <col min="10" max="10" width="7.296875" style="8" customWidth="1"/>
    <col min="11" max="16384" width="9.296875" style="8"/>
  </cols>
  <sheetData>
    <row r="1" spans="1:10" s="22" customFormat="1" ht="58.85" customHeight="1" x14ac:dyDescent="0.35">
      <c r="A1" s="61"/>
      <c r="B1" s="336" t="s">
        <v>288</v>
      </c>
      <c r="C1" s="336"/>
      <c r="D1" s="336"/>
      <c r="E1" s="336"/>
      <c r="F1" s="336"/>
      <c r="G1" s="336"/>
      <c r="H1" s="336"/>
      <c r="I1" s="336"/>
      <c r="J1" s="336"/>
    </row>
    <row r="2" spans="1:10" s="22" customFormat="1" ht="13.15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</row>
    <row r="4" spans="1:10" ht="14.95" thickBot="1" x14ac:dyDescent="0.35"/>
    <row r="5" spans="1:10" s="62" customFormat="1" ht="10.55" customHeight="1" x14ac:dyDescent="0.3">
      <c r="B5" s="350"/>
      <c r="C5" s="352" t="s">
        <v>40</v>
      </c>
      <c r="D5" s="4" t="s">
        <v>41</v>
      </c>
      <c r="E5" s="4" t="s">
        <v>38</v>
      </c>
      <c r="F5" s="4" t="s">
        <v>41</v>
      </c>
      <c r="G5" s="4" t="s">
        <v>38</v>
      </c>
      <c r="H5" s="4" t="s">
        <v>62</v>
      </c>
      <c r="I5" s="74"/>
    </row>
    <row r="6" spans="1:10" s="63" customFormat="1" ht="14.95" thickBot="1" x14ac:dyDescent="0.35">
      <c r="B6" s="351"/>
      <c r="C6" s="353"/>
      <c r="D6" s="24" t="s">
        <v>125</v>
      </c>
      <c r="E6" s="24">
        <v>2013</v>
      </c>
      <c r="F6" s="24" t="s">
        <v>126</v>
      </c>
      <c r="G6" s="24">
        <v>2014</v>
      </c>
      <c r="H6" s="24" t="s">
        <v>283</v>
      </c>
      <c r="I6" s="68"/>
    </row>
    <row r="7" spans="1:10" s="64" customFormat="1" ht="3.75" customHeight="1" x14ac:dyDescent="0.3">
      <c r="B7" s="59"/>
      <c r="C7" s="60"/>
      <c r="D7" s="100"/>
      <c r="E7" s="100"/>
      <c r="F7" s="100"/>
      <c r="G7" s="100"/>
      <c r="H7" s="100"/>
      <c r="I7" s="58"/>
    </row>
    <row r="8" spans="1:10" ht="21.75" customHeight="1" x14ac:dyDescent="0.3">
      <c r="C8" s="75" t="s" vm="48">
        <v>272</v>
      </c>
      <c r="D8" s="180" vm="975">
        <v>1892493</v>
      </c>
      <c r="E8" s="170">
        <v>28.85</v>
      </c>
      <c r="F8" s="180" vm="655">
        <v>1800312</v>
      </c>
      <c r="G8" s="167">
        <v>25.94</v>
      </c>
      <c r="H8" s="175">
        <v>95.129123330971368</v>
      </c>
    </row>
    <row r="9" spans="1:10" ht="21.75" customHeight="1" x14ac:dyDescent="0.3">
      <c r="C9" s="75" t="s" vm="45">
        <v>278</v>
      </c>
      <c r="D9" s="180" vm="1012">
        <v>125566</v>
      </c>
      <c r="E9" s="170">
        <v>1.91</v>
      </c>
      <c r="F9" s="180" vm="607">
        <v>124904</v>
      </c>
      <c r="G9" s="167">
        <v>1.8</v>
      </c>
      <c r="H9" s="175">
        <v>99.472787219470234</v>
      </c>
    </row>
    <row r="10" spans="1:10" ht="21.75" customHeight="1" x14ac:dyDescent="0.3">
      <c r="C10" s="75" t="s" vm="36">
        <v>249</v>
      </c>
      <c r="D10" s="180" vm="905">
        <v>275454</v>
      </c>
      <c r="E10" s="170">
        <v>4.2</v>
      </c>
      <c r="F10" s="180" vm="468">
        <v>322277</v>
      </c>
      <c r="G10" s="167">
        <v>4.6399999999999997</v>
      </c>
      <c r="H10" s="175">
        <v>116.99848250524589</v>
      </c>
    </row>
    <row r="11" spans="1:10" ht="21.75" customHeight="1" x14ac:dyDescent="0.3">
      <c r="C11" s="75" t="s" vm="51">
        <v>251</v>
      </c>
      <c r="D11" s="180" vm="1576">
        <v>115</v>
      </c>
      <c r="E11" s="170">
        <v>0</v>
      </c>
      <c r="F11" s="180" vm="633">
        <v>114</v>
      </c>
      <c r="G11" s="167">
        <v>0</v>
      </c>
      <c r="H11" s="175">
        <v>99.130434782608702</v>
      </c>
    </row>
    <row r="12" spans="1:10" ht="21.75" customHeight="1" x14ac:dyDescent="0.3">
      <c r="C12" s="75" t="s" vm="38">
        <v>254</v>
      </c>
      <c r="D12" s="180" vm="899">
        <v>101</v>
      </c>
      <c r="E12" s="170">
        <v>0</v>
      </c>
      <c r="F12" s="180" vm="588">
        <v>117</v>
      </c>
      <c r="G12" s="167">
        <v>0</v>
      </c>
      <c r="H12" s="175">
        <v>115.84158415841583</v>
      </c>
    </row>
    <row r="13" spans="1:10" ht="21.75" customHeight="1" x14ac:dyDescent="0.3">
      <c r="C13" s="75" t="s" vm="44">
        <v>261</v>
      </c>
      <c r="D13" s="180" vm="1319">
        <v>15447</v>
      </c>
      <c r="E13" s="170">
        <v>0.24</v>
      </c>
      <c r="F13" s="180" vm="451">
        <v>16516</v>
      </c>
      <c r="G13" s="167">
        <v>0.24</v>
      </c>
      <c r="H13" s="175">
        <v>106.92043762542889</v>
      </c>
    </row>
    <row r="14" spans="1:10" ht="21.75" customHeight="1" x14ac:dyDescent="0.3">
      <c r="C14" s="75" t="s" vm="35">
        <v>225</v>
      </c>
      <c r="D14" s="180" vm="1357">
        <v>14800</v>
      </c>
      <c r="E14" s="170">
        <v>0.23</v>
      </c>
      <c r="F14" s="180" vm="653">
        <v>13926</v>
      </c>
      <c r="G14" s="167">
        <v>0.2</v>
      </c>
      <c r="H14" s="175">
        <v>94.094594594594597</v>
      </c>
    </row>
    <row r="15" spans="1:10" ht="21.75" customHeight="1" x14ac:dyDescent="0.3">
      <c r="C15" s="75" t="s" vm="50">
        <v>229</v>
      </c>
      <c r="D15" s="180" vm="1441">
        <v>397139</v>
      </c>
      <c r="E15" s="170">
        <v>6.05</v>
      </c>
      <c r="F15" s="180" vm="540">
        <v>390357</v>
      </c>
      <c r="G15" s="167">
        <v>5.63</v>
      </c>
      <c r="H15" s="175">
        <v>98.292285572557716</v>
      </c>
    </row>
    <row r="16" spans="1:10" ht="21.75" customHeight="1" x14ac:dyDescent="0.3">
      <c r="C16" s="75" t="s" vm="47">
        <v>243</v>
      </c>
      <c r="D16" s="180" vm="889">
        <v>465554</v>
      </c>
      <c r="E16" s="170">
        <v>7.1</v>
      </c>
      <c r="F16" s="180" vm="652">
        <v>474452</v>
      </c>
      <c r="G16" s="167">
        <v>6.84</v>
      </c>
      <c r="H16" s="175">
        <v>101.91127130257715</v>
      </c>
    </row>
    <row r="17" spans="3:8" ht="21.75" customHeight="1" x14ac:dyDescent="0.3">
      <c r="C17" s="75" t="s" vm="43">
        <v>210</v>
      </c>
      <c r="D17" s="180" vm="716">
        <v>1551593</v>
      </c>
      <c r="E17" s="170">
        <v>23.65</v>
      </c>
      <c r="F17" s="180" vm="473">
        <v>1821473</v>
      </c>
      <c r="G17" s="167">
        <v>26.25</v>
      </c>
      <c r="H17" s="175">
        <v>117.39373663067569</v>
      </c>
    </row>
    <row r="18" spans="3:8" ht="21.75" customHeight="1" x14ac:dyDescent="0.3">
      <c r="C18" s="75" t="s" vm="34">
        <v>213</v>
      </c>
      <c r="D18" s="180" vm="1445">
        <v>168</v>
      </c>
      <c r="E18" s="170">
        <v>0</v>
      </c>
      <c r="F18" s="180" vm="455">
        <v>180</v>
      </c>
      <c r="G18" s="167">
        <v>0</v>
      </c>
      <c r="H18" s="175">
        <v>107.14285714285714</v>
      </c>
    </row>
    <row r="19" spans="3:8" ht="21.75" customHeight="1" x14ac:dyDescent="0.3">
      <c r="C19" s="75" t="s" vm="39">
        <v>218</v>
      </c>
      <c r="D19" s="180" vm="777">
        <v>33169</v>
      </c>
      <c r="E19" s="170">
        <v>0.51</v>
      </c>
      <c r="F19" s="180" vm="467">
        <v>34442</v>
      </c>
      <c r="G19" s="167">
        <v>0.5</v>
      </c>
      <c r="H19" s="175">
        <v>103.8379209502849</v>
      </c>
    </row>
    <row r="20" spans="3:8" ht="21.75" customHeight="1" x14ac:dyDescent="0.3">
      <c r="C20" s="75" t="s" vm="37">
        <v>203</v>
      </c>
      <c r="D20" s="180" vm="950">
        <v>100415</v>
      </c>
      <c r="E20" s="170">
        <v>1.53</v>
      </c>
      <c r="F20" s="180" vm="627">
        <v>109374</v>
      </c>
      <c r="G20" s="167">
        <v>1.58</v>
      </c>
      <c r="H20" s="175">
        <v>108.92197380869393</v>
      </c>
    </row>
    <row r="21" spans="3:8" ht="21.75" customHeight="1" x14ac:dyDescent="0.3">
      <c r="C21" s="75" t="s" vm="42">
        <v>162</v>
      </c>
      <c r="D21" s="180" vm="1194">
        <v>31124</v>
      </c>
      <c r="E21" s="170">
        <v>0.47</v>
      </c>
      <c r="F21" s="180" vm="592">
        <v>38715</v>
      </c>
      <c r="G21" s="167">
        <v>0.56000000000000005</v>
      </c>
      <c r="H21" s="175">
        <v>124.38953861971468</v>
      </c>
    </row>
    <row r="22" spans="3:8" ht="21.75" customHeight="1" x14ac:dyDescent="0.3">
      <c r="C22" s="75" t="s" vm="33">
        <v>165</v>
      </c>
      <c r="D22" s="180" vm="1641">
        <v>520</v>
      </c>
      <c r="E22" s="170">
        <v>0.01</v>
      </c>
      <c r="F22" s="180" vm="635">
        <v>568</v>
      </c>
      <c r="G22" s="167">
        <v>0.01</v>
      </c>
      <c r="H22" s="175">
        <v>109.23076923076923</v>
      </c>
    </row>
    <row r="23" spans="3:8" ht="21.75" customHeight="1" x14ac:dyDescent="0.3">
      <c r="C23" s="75" t="s" vm="49">
        <v>172</v>
      </c>
      <c r="D23" s="180" vm="1440">
        <v>28729</v>
      </c>
      <c r="E23" s="170">
        <v>0.44</v>
      </c>
      <c r="F23" s="180" vm="605">
        <v>104817</v>
      </c>
      <c r="G23" s="167">
        <v>1.51</v>
      </c>
      <c r="H23" s="175">
        <v>364.84736677225101</v>
      </c>
    </row>
    <row r="24" spans="3:8" ht="21.75" customHeight="1" x14ac:dyDescent="0.3">
      <c r="C24" s="75" t="s" vm="46">
        <v>174</v>
      </c>
      <c r="D24" s="180" vm="800">
        <v>4468</v>
      </c>
      <c r="E24" s="170">
        <v>7.0000000000000007E-2</v>
      </c>
      <c r="F24" s="180" vm="474">
        <v>7349</v>
      </c>
      <c r="G24" s="167">
        <v>0.11</v>
      </c>
      <c r="H24" s="175">
        <v>164.48075201432408</v>
      </c>
    </row>
    <row r="25" spans="3:8" ht="21.75" customHeight="1" thickBot="1" x14ac:dyDescent="0.35">
      <c r="C25" s="93" t="s" vm="41">
        <v>179</v>
      </c>
      <c r="D25" s="184" vm="797">
        <v>188725</v>
      </c>
      <c r="E25" s="171">
        <v>2.88</v>
      </c>
      <c r="F25" s="184" vm="478">
        <v>199127</v>
      </c>
      <c r="G25" s="168">
        <v>2.87</v>
      </c>
      <c r="H25" s="176">
        <v>105.51172340707377</v>
      </c>
    </row>
    <row r="26" spans="3:8" ht="21.75" customHeight="1" x14ac:dyDescent="0.3">
      <c r="C26" s="94" t="s" vm="199">
        <v>136</v>
      </c>
      <c r="D26" s="183" vm="786">
        <v>777481</v>
      </c>
      <c r="E26" s="172">
        <v>11.85</v>
      </c>
      <c r="F26" s="183" vm="593">
        <v>784181</v>
      </c>
      <c r="G26" s="169">
        <v>11.3</v>
      </c>
      <c r="H26" s="177">
        <v>100.86175739342826</v>
      </c>
    </row>
    <row r="27" spans="3:8" ht="21.75" customHeight="1" x14ac:dyDescent="0.3">
      <c r="C27" s="75" t="s" vm="182">
        <v>140</v>
      </c>
      <c r="D27" s="180" vm="1035">
        <v>2008</v>
      </c>
      <c r="E27" s="170">
        <v>0.03</v>
      </c>
      <c r="F27" s="180" vm="626">
        <v>2016</v>
      </c>
      <c r="G27" s="167">
        <v>0.03</v>
      </c>
      <c r="H27" s="175">
        <v>100.39840637450199</v>
      </c>
    </row>
    <row r="28" spans="3:8" ht="21.75" customHeight="1" x14ac:dyDescent="0.3">
      <c r="C28" s="75" t="s" vm="180">
        <v>144</v>
      </c>
      <c r="D28" s="180" vm="937">
        <v>602377</v>
      </c>
      <c r="E28" s="170">
        <v>9.18</v>
      </c>
      <c r="F28" s="180" vm="427">
        <v>646811</v>
      </c>
      <c r="G28" s="167">
        <v>9.32</v>
      </c>
      <c r="H28" s="175">
        <v>107.37644365571725</v>
      </c>
    </row>
    <row r="29" spans="3:8" ht="21.75" customHeight="1" x14ac:dyDescent="0.3">
      <c r="C29" s="75" t="s" vm="178">
        <v>146</v>
      </c>
      <c r="D29" s="180" vm="707">
        <v>3922</v>
      </c>
      <c r="E29" s="170">
        <v>0.06</v>
      </c>
      <c r="F29" s="180" vm="430">
        <v>3714</v>
      </c>
      <c r="G29" s="167">
        <v>0.05</v>
      </c>
      <c r="H29" s="175">
        <v>94.696583375828652</v>
      </c>
    </row>
    <row r="30" spans="3:8" ht="21.75" customHeight="1" x14ac:dyDescent="0.3">
      <c r="C30" s="75" t="s" vm="177">
        <v>152</v>
      </c>
      <c r="D30" s="180" vm="1031">
        <v>49041</v>
      </c>
      <c r="E30" s="170">
        <v>0.75</v>
      </c>
      <c r="F30" s="180" vm="537">
        <v>43486</v>
      </c>
      <c r="G30" s="167">
        <v>0.63</v>
      </c>
      <c r="H30" s="175">
        <v>88.672743214861043</v>
      </c>
    </row>
    <row r="31" spans="3:8" ht="21.75" customHeight="1" x14ac:dyDescent="0.3">
      <c r="C31" s="75" t="s" vm="174">
        <v>154</v>
      </c>
      <c r="D31" s="180" vm="1013">
        <v>0</v>
      </c>
      <c r="E31" s="170">
        <v>0</v>
      </c>
      <c r="F31" s="180" vm="630">
        <v>0</v>
      </c>
      <c r="G31" s="167">
        <v>0</v>
      </c>
      <c r="H31" s="175" t="s">
        <v>127</v>
      </c>
    </row>
    <row r="32" spans="3:8" ht="21.75" customHeight="1" x14ac:dyDescent="0.3">
      <c r="C32" s="75" t="s" vm="173">
        <v>156</v>
      </c>
      <c r="D32" s="180" vm="1166">
        <v>0</v>
      </c>
      <c r="E32" s="170">
        <v>0</v>
      </c>
      <c r="F32" s="185" vm="465">
        <v>0</v>
      </c>
      <c r="G32" s="167">
        <v>0</v>
      </c>
      <c r="H32" s="175" t="s">
        <v>127</v>
      </c>
    </row>
    <row r="33" spans="3:8" ht="21.75" customHeight="1" x14ac:dyDescent="0.3">
      <c r="C33" s="56" t="s" vm="40">
        <v>284</v>
      </c>
      <c r="D33" s="181" vm="727">
        <v>5125580</v>
      </c>
      <c r="E33" s="173">
        <v>78.13</v>
      </c>
      <c r="F33" s="165" vm="502">
        <v>5459020</v>
      </c>
      <c r="G33" s="173">
        <v>78.67</v>
      </c>
      <c r="H33" s="178">
        <v>106.50541011944014</v>
      </c>
    </row>
    <row r="34" spans="3:8" ht="21.75" customHeight="1" thickBot="1" x14ac:dyDescent="0.35">
      <c r="C34" s="56" t="s" vm="32">
        <v>285</v>
      </c>
      <c r="D34" s="181" vm="875">
        <v>1434829</v>
      </c>
      <c r="E34" s="173">
        <v>21.87</v>
      </c>
      <c r="F34" s="165" vm="452">
        <v>1480208</v>
      </c>
      <c r="G34" s="173">
        <v>21.33</v>
      </c>
      <c r="H34" s="178">
        <v>103.1626765280044</v>
      </c>
    </row>
    <row r="35" spans="3:8" ht="21.75" customHeight="1" x14ac:dyDescent="0.3">
      <c r="C35" s="95" t="s" vm="31">
        <v>286</v>
      </c>
      <c r="D35" s="182" vm="761">
        <v>6560409</v>
      </c>
      <c r="E35" s="174">
        <v>100</v>
      </c>
      <c r="F35" s="166" vm="442">
        <v>6939228</v>
      </c>
      <c r="G35" s="174">
        <v>100</v>
      </c>
      <c r="H35" s="179">
        <v>105.77431986328901</v>
      </c>
    </row>
    <row r="36" spans="3:8" x14ac:dyDescent="0.3">
      <c r="D36" s="96"/>
    </row>
    <row r="37" spans="3:8" x14ac:dyDescent="0.3">
      <c r="D37" s="96"/>
    </row>
    <row r="38" spans="3:8" x14ac:dyDescent="0.3">
      <c r="D38" s="96"/>
    </row>
    <row r="39" spans="3:8" x14ac:dyDescent="0.3">
      <c r="D39" s="96"/>
    </row>
    <row r="40" spans="3:8" x14ac:dyDescent="0.3">
      <c r="D40" s="96"/>
    </row>
    <row r="41" spans="3:8" x14ac:dyDescent="0.3">
      <c r="D41" s="96"/>
    </row>
    <row r="42" spans="3:8" x14ac:dyDescent="0.3">
      <c r="D42" s="96"/>
    </row>
    <row r="43" spans="3:8" x14ac:dyDescent="0.3">
      <c r="D43" s="96"/>
    </row>
    <row r="44" spans="3:8" x14ac:dyDescent="0.3">
      <c r="D44" s="96"/>
    </row>
    <row r="45" spans="3:8" x14ac:dyDescent="0.3">
      <c r="D45" s="96"/>
    </row>
    <row r="46" spans="3:8" x14ac:dyDescent="0.3">
      <c r="D46" s="96"/>
    </row>
    <row r="47" spans="3:8" x14ac:dyDescent="0.3">
      <c r="D47" s="96"/>
    </row>
    <row r="48" spans="3:8" x14ac:dyDescent="0.3">
      <c r="D48" s="96"/>
    </row>
    <row r="49" spans="4:4" x14ac:dyDescent="0.3">
      <c r="D49" s="96"/>
    </row>
    <row r="50" spans="4:4" x14ac:dyDescent="0.3">
      <c r="D50" s="96"/>
    </row>
    <row r="51" spans="4:4" x14ac:dyDescent="0.3">
      <c r="D51" s="96"/>
    </row>
    <row r="52" spans="4:4" x14ac:dyDescent="0.3">
      <c r="D52" s="96"/>
    </row>
    <row r="53" spans="4:4" x14ac:dyDescent="0.3">
      <c r="D53" s="96"/>
    </row>
    <row r="54" spans="4:4" x14ac:dyDescent="0.3">
      <c r="D54" s="96"/>
    </row>
    <row r="55" spans="4:4" x14ac:dyDescent="0.3">
      <c r="D55" s="96"/>
    </row>
    <row r="56" spans="4:4" x14ac:dyDescent="0.3">
      <c r="D56" s="96"/>
    </row>
    <row r="57" spans="4:4" x14ac:dyDescent="0.3">
      <c r="D57" s="96"/>
    </row>
    <row r="58" spans="4:4" x14ac:dyDescent="0.3">
      <c r="D58" s="96"/>
    </row>
    <row r="59" spans="4:4" x14ac:dyDescent="0.3">
      <c r="D59" s="96"/>
    </row>
    <row r="60" spans="4:4" x14ac:dyDescent="0.3">
      <c r="D60" s="96"/>
    </row>
    <row r="61" spans="4:4" x14ac:dyDescent="0.3">
      <c r="D61" s="96"/>
    </row>
    <row r="62" spans="4:4" x14ac:dyDescent="0.3">
      <c r="D62" s="96"/>
    </row>
    <row r="63" spans="4:4" x14ac:dyDescent="0.3">
      <c r="D63" s="96"/>
    </row>
    <row r="64" spans="4:4" x14ac:dyDescent="0.3">
      <c r="D64" s="96"/>
    </row>
    <row r="65" spans="4:4" x14ac:dyDescent="0.3">
      <c r="D65" s="96"/>
    </row>
    <row r="66" spans="4:4" x14ac:dyDescent="0.3">
      <c r="D66" s="96"/>
    </row>
    <row r="67" spans="4:4" x14ac:dyDescent="0.3">
      <c r="D67" s="96"/>
    </row>
    <row r="68" spans="4:4" x14ac:dyDescent="0.3">
      <c r="D68" s="96"/>
    </row>
    <row r="69" spans="4:4" x14ac:dyDescent="0.3">
      <c r="D69" s="96"/>
    </row>
    <row r="70" spans="4:4" x14ac:dyDescent="0.3">
      <c r="D70" s="96"/>
    </row>
    <row r="71" spans="4:4" x14ac:dyDescent="0.3">
      <c r="D71" s="96"/>
    </row>
    <row r="72" spans="4:4" x14ac:dyDescent="0.3">
      <c r="D72" s="96"/>
    </row>
    <row r="73" spans="4:4" x14ac:dyDescent="0.3">
      <c r="D73" s="96"/>
    </row>
    <row r="74" spans="4:4" x14ac:dyDescent="0.3">
      <c r="D74" s="96"/>
    </row>
    <row r="75" spans="4:4" x14ac:dyDescent="0.3">
      <c r="D75" s="96"/>
    </row>
    <row r="76" spans="4:4" x14ac:dyDescent="0.3">
      <c r="D76" s="96"/>
    </row>
    <row r="77" spans="4:4" x14ac:dyDescent="0.3">
      <c r="D77" s="96"/>
    </row>
    <row r="78" spans="4:4" x14ac:dyDescent="0.3">
      <c r="D78" s="96"/>
    </row>
    <row r="79" spans="4:4" x14ac:dyDescent="0.3">
      <c r="D79" s="96"/>
    </row>
    <row r="80" spans="4:4" x14ac:dyDescent="0.3">
      <c r="D80" s="96"/>
    </row>
    <row r="81" spans="4:4" x14ac:dyDescent="0.3">
      <c r="D81" s="96"/>
    </row>
    <row r="82" spans="4:4" x14ac:dyDescent="0.3">
      <c r="D82" s="96"/>
    </row>
    <row r="83" spans="4:4" x14ac:dyDescent="0.3">
      <c r="D83" s="96"/>
    </row>
    <row r="84" spans="4:4" x14ac:dyDescent="0.3">
      <c r="D84" s="96"/>
    </row>
    <row r="85" spans="4:4" x14ac:dyDescent="0.3">
      <c r="D85" s="96"/>
    </row>
    <row r="86" spans="4:4" x14ac:dyDescent="0.3">
      <c r="D86" s="96"/>
    </row>
    <row r="87" spans="4:4" x14ac:dyDescent="0.3">
      <c r="D87" s="96"/>
    </row>
    <row r="88" spans="4:4" x14ac:dyDescent="0.3">
      <c r="D88" s="96"/>
    </row>
    <row r="89" spans="4:4" x14ac:dyDescent="0.3">
      <c r="D89" s="96"/>
    </row>
    <row r="90" spans="4:4" x14ac:dyDescent="0.3">
      <c r="D90" s="96"/>
    </row>
    <row r="91" spans="4:4" x14ac:dyDescent="0.3">
      <c r="D91" s="96"/>
    </row>
    <row r="92" spans="4:4" x14ac:dyDescent="0.3">
      <c r="D92" s="96"/>
    </row>
    <row r="93" spans="4:4" x14ac:dyDescent="0.3">
      <c r="D93" s="96"/>
    </row>
    <row r="94" spans="4:4" x14ac:dyDescent="0.3">
      <c r="D94" s="96"/>
    </row>
    <row r="95" spans="4:4" x14ac:dyDescent="0.3">
      <c r="D95" s="96"/>
    </row>
    <row r="96" spans="4:4" x14ac:dyDescent="0.3">
      <c r="D96" s="96"/>
    </row>
    <row r="97" spans="4:4" x14ac:dyDescent="0.3">
      <c r="D97" s="96"/>
    </row>
    <row r="98" spans="4:4" x14ac:dyDescent="0.3">
      <c r="D98" s="96"/>
    </row>
    <row r="99" spans="4:4" x14ac:dyDescent="0.3">
      <c r="D99" s="96"/>
    </row>
    <row r="100" spans="4:4" x14ac:dyDescent="0.3">
      <c r="D100" s="96"/>
    </row>
    <row r="101" spans="4:4" x14ac:dyDescent="0.3">
      <c r="D101" s="96"/>
    </row>
    <row r="102" spans="4:4" x14ac:dyDescent="0.3">
      <c r="D102" s="96"/>
    </row>
    <row r="103" spans="4:4" x14ac:dyDescent="0.3">
      <c r="D103" s="96"/>
    </row>
    <row r="104" spans="4:4" x14ac:dyDescent="0.3">
      <c r="D104" s="96"/>
    </row>
    <row r="105" spans="4:4" x14ac:dyDescent="0.3">
      <c r="D105" s="96"/>
    </row>
    <row r="106" spans="4:4" x14ac:dyDescent="0.3">
      <c r="D106" s="96"/>
    </row>
    <row r="107" spans="4:4" x14ac:dyDescent="0.3">
      <c r="D107" s="96"/>
    </row>
    <row r="108" spans="4:4" x14ac:dyDescent="0.3">
      <c r="D108" s="96"/>
    </row>
    <row r="109" spans="4:4" x14ac:dyDescent="0.3">
      <c r="D109" s="96"/>
    </row>
    <row r="110" spans="4:4" x14ac:dyDescent="0.3">
      <c r="D110" s="96"/>
    </row>
    <row r="111" spans="4:4" x14ac:dyDescent="0.3">
      <c r="D111" s="96"/>
    </row>
    <row r="112" spans="4:4" x14ac:dyDescent="0.3">
      <c r="D112" s="96"/>
    </row>
    <row r="113" spans="4:4" x14ac:dyDescent="0.3">
      <c r="D113" s="96"/>
    </row>
    <row r="114" spans="4:4" x14ac:dyDescent="0.3">
      <c r="D114" s="96"/>
    </row>
    <row r="115" spans="4:4" x14ac:dyDescent="0.3">
      <c r="D115" s="96"/>
    </row>
    <row r="116" spans="4:4" x14ac:dyDescent="0.3">
      <c r="D116" s="96"/>
    </row>
    <row r="117" spans="4:4" x14ac:dyDescent="0.3">
      <c r="D117" s="96"/>
    </row>
    <row r="118" spans="4:4" x14ac:dyDescent="0.3">
      <c r="D118" s="96"/>
    </row>
    <row r="119" spans="4:4" x14ac:dyDescent="0.3">
      <c r="D119" s="96"/>
    </row>
    <row r="120" spans="4:4" x14ac:dyDescent="0.3">
      <c r="D120" s="96"/>
    </row>
    <row r="121" spans="4:4" x14ac:dyDescent="0.3">
      <c r="D121" s="96"/>
    </row>
    <row r="122" spans="4:4" x14ac:dyDescent="0.3">
      <c r="D122" s="96"/>
    </row>
    <row r="123" spans="4:4" x14ac:dyDescent="0.3">
      <c r="D123" s="96"/>
    </row>
    <row r="124" spans="4:4" x14ac:dyDescent="0.3">
      <c r="D124" s="96"/>
    </row>
    <row r="125" spans="4:4" x14ac:dyDescent="0.3">
      <c r="D125" s="96"/>
    </row>
    <row r="126" spans="4:4" x14ac:dyDescent="0.3">
      <c r="D126" s="96"/>
    </row>
    <row r="127" spans="4:4" x14ac:dyDescent="0.3">
      <c r="D127" s="96"/>
    </row>
    <row r="128" spans="4:4" x14ac:dyDescent="0.3">
      <c r="D128" s="96"/>
    </row>
    <row r="129" spans="4:4" x14ac:dyDescent="0.3">
      <c r="D129" s="96"/>
    </row>
    <row r="130" spans="4:4" x14ac:dyDescent="0.3">
      <c r="D130" s="96"/>
    </row>
    <row r="131" spans="4:4" x14ac:dyDescent="0.3">
      <c r="D131" s="96"/>
    </row>
  </sheetData>
  <mergeCells count="3">
    <mergeCell ref="B1:J1"/>
    <mergeCell ref="B5:B6"/>
    <mergeCell ref="C5:C6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1"/>
  <sheetViews>
    <sheetView showGridLines="0" zoomScale="90" zoomScaleNormal="90" workbookViewId="0">
      <selection activeCell="B3" sqref="B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3.296875" style="8" bestFit="1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5.3984375" style="8" customWidth="1"/>
    <col min="9" max="9" width="1.59765625" style="8" customWidth="1"/>
    <col min="10" max="10" width="7.296875" style="8" customWidth="1"/>
    <col min="11" max="16384" width="9.296875" style="8"/>
  </cols>
  <sheetData>
    <row r="1" spans="1:10" s="22" customFormat="1" ht="58.85" customHeight="1" x14ac:dyDescent="0.35">
      <c r="A1" s="61"/>
      <c r="B1" s="336" t="s">
        <v>287</v>
      </c>
      <c r="C1" s="336"/>
      <c r="D1" s="336"/>
      <c r="E1" s="336"/>
      <c r="F1" s="336"/>
      <c r="G1" s="336"/>
      <c r="H1" s="336"/>
      <c r="I1" s="336"/>
      <c r="J1" s="336"/>
    </row>
    <row r="2" spans="1:10" s="22" customFormat="1" ht="13.8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4" spans="1:10" ht="14.95" thickBot="1" x14ac:dyDescent="0.35"/>
    <row r="5" spans="1:10" s="62" customFormat="1" ht="10.55" customHeight="1" x14ac:dyDescent="0.3">
      <c r="B5" s="350"/>
      <c r="C5" s="352" t="s">
        <v>40</v>
      </c>
      <c r="D5" s="4" t="s">
        <v>42</v>
      </c>
      <c r="E5" s="4" t="s">
        <v>38</v>
      </c>
      <c r="F5" s="4" t="s">
        <v>42</v>
      </c>
      <c r="G5" s="4" t="s">
        <v>38</v>
      </c>
      <c r="H5" s="4" t="s">
        <v>62</v>
      </c>
      <c r="I5" s="74"/>
    </row>
    <row r="6" spans="1:10" s="63" customFormat="1" ht="14.95" thickBot="1" x14ac:dyDescent="0.35">
      <c r="B6" s="351"/>
      <c r="C6" s="353"/>
      <c r="D6" s="24" t="s">
        <v>125</v>
      </c>
      <c r="E6" s="24">
        <v>2013</v>
      </c>
      <c r="F6" s="24" t="s">
        <v>126</v>
      </c>
      <c r="G6" s="24">
        <v>2014</v>
      </c>
      <c r="H6" s="24" t="s">
        <v>283</v>
      </c>
      <c r="I6" s="68"/>
    </row>
    <row r="7" spans="1:10" s="64" customFormat="1" ht="3.75" customHeight="1" x14ac:dyDescent="0.3">
      <c r="B7" s="59"/>
      <c r="C7" s="60"/>
      <c r="D7" s="100"/>
      <c r="E7" s="100"/>
      <c r="F7" s="100"/>
      <c r="G7" s="100"/>
      <c r="H7" s="100"/>
      <c r="I7" s="58"/>
    </row>
    <row r="8" spans="1:10" ht="21.75" customHeight="1" x14ac:dyDescent="0.3">
      <c r="C8" s="75" t="s" vm="48">
        <v>272</v>
      </c>
      <c r="D8" s="180" vm="1442">
        <v>12714</v>
      </c>
      <c r="E8" s="170">
        <v>2.13</v>
      </c>
      <c r="F8" s="162" vm="505">
        <v>12575</v>
      </c>
      <c r="G8" s="170">
        <v>1.27</v>
      </c>
      <c r="H8" s="175">
        <v>98.906717004876512</v>
      </c>
    </row>
    <row r="9" spans="1:10" ht="21.75" customHeight="1" x14ac:dyDescent="0.3">
      <c r="C9" s="75" t="s" vm="45">
        <v>278</v>
      </c>
      <c r="D9" s="180" vm="700">
        <v>246174</v>
      </c>
      <c r="E9" s="170">
        <v>41.22</v>
      </c>
      <c r="F9" s="159" vm="437">
        <v>652938</v>
      </c>
      <c r="G9" s="170">
        <v>65.819999999999993</v>
      </c>
      <c r="H9" s="175">
        <v>265.23434643788539</v>
      </c>
    </row>
    <row r="10" spans="1:10" ht="21.75" customHeight="1" x14ac:dyDescent="0.3">
      <c r="C10" s="75" t="s" vm="36">
        <v>249</v>
      </c>
      <c r="D10" s="180" vm="766">
        <v>73857</v>
      </c>
      <c r="E10" s="170">
        <v>12.37</v>
      </c>
      <c r="F10" s="159" vm="469">
        <v>70249</v>
      </c>
      <c r="G10" s="170">
        <v>7.08</v>
      </c>
      <c r="H10" s="175">
        <v>95.114884168054488</v>
      </c>
    </row>
    <row r="11" spans="1:10" ht="21.75" customHeight="1" x14ac:dyDescent="0.3">
      <c r="C11" s="75" t="s" vm="51">
        <v>251</v>
      </c>
      <c r="D11" s="180" vm="1157">
        <v>189</v>
      </c>
      <c r="E11" s="170">
        <v>0.03</v>
      </c>
      <c r="F11" s="159" vm="456">
        <v>276</v>
      </c>
      <c r="G11" s="170">
        <v>0.03</v>
      </c>
      <c r="H11" s="175">
        <v>146.03174603174602</v>
      </c>
    </row>
    <row r="12" spans="1:10" ht="21.75" customHeight="1" x14ac:dyDescent="0.3">
      <c r="C12" s="75" t="s" vm="38">
        <v>254</v>
      </c>
      <c r="D12" s="180" vm="704">
        <v>8</v>
      </c>
      <c r="E12" s="170">
        <v>0</v>
      </c>
      <c r="F12" s="159" vm="525">
        <v>9</v>
      </c>
      <c r="G12" s="170">
        <v>0</v>
      </c>
      <c r="H12" s="175">
        <v>112.5</v>
      </c>
    </row>
    <row r="13" spans="1:10" ht="21.75" customHeight="1" x14ac:dyDescent="0.3">
      <c r="C13" s="75" t="s" vm="44">
        <v>261</v>
      </c>
      <c r="D13" s="180" vm="1338">
        <v>1093</v>
      </c>
      <c r="E13" s="170">
        <v>0.18</v>
      </c>
      <c r="F13" s="159" vm="457">
        <v>1150</v>
      </c>
      <c r="G13" s="170">
        <v>0.12</v>
      </c>
      <c r="H13" s="175">
        <v>105.21500457456541</v>
      </c>
    </row>
    <row r="14" spans="1:10" ht="21.75" customHeight="1" x14ac:dyDescent="0.3">
      <c r="C14" s="75" t="s" vm="35">
        <v>225</v>
      </c>
      <c r="D14" s="180" vm="1340">
        <v>2867</v>
      </c>
      <c r="E14" s="170">
        <v>0.48</v>
      </c>
      <c r="F14" s="159" vm="433">
        <v>3008</v>
      </c>
      <c r="G14" s="170">
        <v>0.3</v>
      </c>
      <c r="H14" s="175">
        <v>104.91803278688525</v>
      </c>
    </row>
    <row r="15" spans="1:10" ht="21.75" customHeight="1" x14ac:dyDescent="0.3">
      <c r="C15" s="75" t="s" vm="50">
        <v>229</v>
      </c>
      <c r="D15" s="180" vm="871">
        <v>19467</v>
      </c>
      <c r="E15" s="170">
        <v>3.26</v>
      </c>
      <c r="F15" s="159" vm="549">
        <v>23203</v>
      </c>
      <c r="G15" s="170">
        <v>2.34</v>
      </c>
      <c r="H15" s="175">
        <v>119.19145220116094</v>
      </c>
    </row>
    <row r="16" spans="1:10" ht="21.75" customHeight="1" x14ac:dyDescent="0.3">
      <c r="C16" s="75" t="s" vm="47">
        <v>243</v>
      </c>
      <c r="D16" s="180" vm="1015">
        <v>58563</v>
      </c>
      <c r="E16" s="170">
        <v>9.81</v>
      </c>
      <c r="F16" s="159" vm="595">
        <v>56184</v>
      </c>
      <c r="G16" s="170">
        <v>5.66</v>
      </c>
      <c r="H16" s="175">
        <v>95.93770810921572</v>
      </c>
    </row>
    <row r="17" spans="3:8" ht="21.75" customHeight="1" x14ac:dyDescent="0.3">
      <c r="C17" s="75" t="s" vm="43">
        <v>210</v>
      </c>
      <c r="D17" s="180" vm="770">
        <v>56751</v>
      </c>
      <c r="E17" s="170">
        <v>9.5</v>
      </c>
      <c r="F17" s="159" vm="610">
        <v>54143</v>
      </c>
      <c r="G17" s="170">
        <v>5.46</v>
      </c>
      <c r="H17" s="175">
        <v>95.404486264559225</v>
      </c>
    </row>
    <row r="18" spans="3:8" ht="21.75" customHeight="1" x14ac:dyDescent="0.3">
      <c r="C18" s="75" t="s" vm="34">
        <v>213</v>
      </c>
      <c r="D18" s="180" vm="1438">
        <v>4</v>
      </c>
      <c r="E18" s="170">
        <v>0</v>
      </c>
      <c r="F18" s="159" vm="533">
        <v>0</v>
      </c>
      <c r="G18" s="170">
        <v>0</v>
      </c>
      <c r="H18" s="175" t="s">
        <v>127</v>
      </c>
    </row>
    <row r="19" spans="3:8" ht="21.75" customHeight="1" x14ac:dyDescent="0.3">
      <c r="C19" s="75" t="s" vm="39">
        <v>218</v>
      </c>
      <c r="D19" s="180" vm="1178">
        <v>64</v>
      </c>
      <c r="E19" s="170">
        <v>0.01</v>
      </c>
      <c r="F19" s="159" vm="590">
        <v>90</v>
      </c>
      <c r="G19" s="170">
        <v>0.01</v>
      </c>
      <c r="H19" s="175">
        <v>140.625</v>
      </c>
    </row>
    <row r="20" spans="3:8" ht="21.75" customHeight="1" x14ac:dyDescent="0.3">
      <c r="C20" s="75" t="s" vm="37">
        <v>203</v>
      </c>
      <c r="D20" s="180" vm="781">
        <v>8670</v>
      </c>
      <c r="E20" s="170">
        <v>1.45</v>
      </c>
      <c r="F20" s="159" vm="654">
        <v>8127</v>
      </c>
      <c r="G20" s="170">
        <v>0.82</v>
      </c>
      <c r="H20" s="175">
        <v>93.737024221453296</v>
      </c>
    </row>
    <row r="21" spans="3:8" ht="21.75" customHeight="1" x14ac:dyDescent="0.3">
      <c r="C21" s="75" t="s" vm="42">
        <v>162</v>
      </c>
      <c r="D21" s="180" vm="717">
        <v>2353</v>
      </c>
      <c r="E21" s="170">
        <v>0.39</v>
      </c>
      <c r="F21" s="159" vm="596">
        <v>2290</v>
      </c>
      <c r="G21" s="170">
        <v>0.23</v>
      </c>
      <c r="H21" s="175">
        <v>97.3225669358266</v>
      </c>
    </row>
    <row r="22" spans="3:8" ht="21.75" customHeight="1" x14ac:dyDescent="0.3">
      <c r="C22" s="75" t="s" vm="33">
        <v>165</v>
      </c>
      <c r="D22" s="180" vm="728">
        <v>307</v>
      </c>
      <c r="E22" s="170">
        <v>0.05</v>
      </c>
      <c r="F22" s="159" vm="470">
        <v>306</v>
      </c>
      <c r="G22" s="170">
        <v>0.03</v>
      </c>
      <c r="H22" s="175">
        <v>99.674267100977204</v>
      </c>
    </row>
    <row r="23" spans="3:8" ht="21.75" customHeight="1" x14ac:dyDescent="0.3">
      <c r="C23" s="75" t="s" vm="49">
        <v>172</v>
      </c>
      <c r="D23" s="180" vm="729">
        <v>1356</v>
      </c>
      <c r="E23" s="170">
        <v>0.23</v>
      </c>
      <c r="F23" s="159" vm="477">
        <v>1380</v>
      </c>
      <c r="G23" s="170">
        <v>0.14000000000000001</v>
      </c>
      <c r="H23" s="175">
        <v>101.76991150442478</v>
      </c>
    </row>
    <row r="24" spans="3:8" ht="21.75" customHeight="1" x14ac:dyDescent="0.3">
      <c r="C24" s="75" t="s" vm="46">
        <v>174</v>
      </c>
      <c r="D24" s="180" vm="868">
        <v>0</v>
      </c>
      <c r="E24" s="170">
        <v>0</v>
      </c>
      <c r="F24" s="159" vm="613">
        <v>0</v>
      </c>
      <c r="G24" s="170">
        <v>0</v>
      </c>
      <c r="H24" s="175" t="s">
        <v>127</v>
      </c>
    </row>
    <row r="25" spans="3:8" ht="21.75" customHeight="1" thickBot="1" x14ac:dyDescent="0.35">
      <c r="C25" s="93" t="s" vm="41">
        <v>179</v>
      </c>
      <c r="D25" s="186" vm="701">
        <v>64322</v>
      </c>
      <c r="E25" s="171">
        <v>10.77</v>
      </c>
      <c r="F25" s="160" vm="586">
        <v>60426</v>
      </c>
      <c r="G25" s="171">
        <v>6.09</v>
      </c>
      <c r="H25" s="176">
        <v>93.942974409999692</v>
      </c>
    </row>
    <row r="26" spans="3:8" ht="21.75" customHeight="1" x14ac:dyDescent="0.3">
      <c r="C26" s="94" t="s" vm="199">
        <v>136</v>
      </c>
      <c r="D26" s="187" vm="948">
        <v>39972</v>
      </c>
      <c r="E26" s="172">
        <v>6.69</v>
      </c>
      <c r="F26" s="161" vm="480">
        <v>36634</v>
      </c>
      <c r="G26" s="172">
        <v>3.69</v>
      </c>
      <c r="H26" s="177">
        <v>91.649154408085664</v>
      </c>
    </row>
    <row r="27" spans="3:8" ht="21.75" customHeight="1" x14ac:dyDescent="0.3">
      <c r="C27" s="75" t="s" vm="182">
        <v>140</v>
      </c>
      <c r="D27" s="180" vm="782">
        <v>450</v>
      </c>
      <c r="E27" s="170">
        <v>0.08</v>
      </c>
      <c r="F27" s="159" vm="522">
        <v>628</v>
      </c>
      <c r="G27" s="170">
        <v>0.06</v>
      </c>
      <c r="H27" s="175">
        <v>139.55555555555557</v>
      </c>
    </row>
    <row r="28" spans="3:8" ht="21.75" customHeight="1" x14ac:dyDescent="0.3">
      <c r="C28" s="75" t="s" vm="180">
        <v>144</v>
      </c>
      <c r="D28" s="180" vm="1172">
        <v>3080</v>
      </c>
      <c r="E28" s="170">
        <v>0.52</v>
      </c>
      <c r="F28" s="159" vm="453">
        <v>3017</v>
      </c>
      <c r="G28" s="170">
        <v>0.3</v>
      </c>
      <c r="H28" s="175">
        <v>97.954545454545453</v>
      </c>
    </row>
    <row r="29" spans="3:8" ht="21.75" customHeight="1" x14ac:dyDescent="0.3">
      <c r="C29" s="75" t="s" vm="178">
        <v>146</v>
      </c>
      <c r="D29" s="180" vm="1156">
        <v>196</v>
      </c>
      <c r="E29" s="170">
        <v>0.03</v>
      </c>
      <c r="F29" s="159" vm="448">
        <v>209</v>
      </c>
      <c r="G29" s="170">
        <v>0.02</v>
      </c>
      <c r="H29" s="175">
        <v>106.63265306122449</v>
      </c>
    </row>
    <row r="30" spans="3:8" ht="21.75" customHeight="1" x14ac:dyDescent="0.3">
      <c r="C30" s="75" t="s" vm="177">
        <v>152</v>
      </c>
      <c r="D30" s="180" vm="762">
        <v>4747</v>
      </c>
      <c r="E30" s="170">
        <v>0.79</v>
      </c>
      <c r="F30" s="159" vm="496">
        <v>5204</v>
      </c>
      <c r="G30" s="170">
        <v>0.52</v>
      </c>
      <c r="H30" s="175">
        <v>109.62713292605856</v>
      </c>
    </row>
    <row r="31" spans="3:8" ht="21.75" customHeight="1" x14ac:dyDescent="0.3">
      <c r="C31" s="75" t="s" vm="174">
        <v>154</v>
      </c>
      <c r="D31" s="180" vm="1325">
        <v>0</v>
      </c>
      <c r="E31" s="170">
        <v>0</v>
      </c>
      <c r="F31" s="159" vm="617">
        <v>0</v>
      </c>
      <c r="G31" s="170">
        <v>0</v>
      </c>
      <c r="H31" s="175" t="s">
        <v>127</v>
      </c>
    </row>
    <row r="32" spans="3:8" ht="21.75" customHeight="1" x14ac:dyDescent="0.3">
      <c r="C32" s="75" t="s" vm="173">
        <v>156</v>
      </c>
      <c r="D32" s="180" vm="743">
        <v>0</v>
      </c>
      <c r="E32" s="170">
        <v>0</v>
      </c>
      <c r="F32" s="159" vm="638">
        <v>0</v>
      </c>
      <c r="G32" s="170">
        <v>0</v>
      </c>
      <c r="H32" s="175" t="s">
        <v>127</v>
      </c>
    </row>
    <row r="33" spans="3:8" ht="21.75" customHeight="1" x14ac:dyDescent="0.3">
      <c r="C33" s="56" t="s" vm="40">
        <v>284</v>
      </c>
      <c r="D33" s="181" vm="804">
        <v>548759</v>
      </c>
      <c r="E33" s="173">
        <v>91.89</v>
      </c>
      <c r="F33" s="165" vm="629">
        <v>946354</v>
      </c>
      <c r="G33" s="173">
        <v>95.39</v>
      </c>
      <c r="H33" s="178">
        <v>172.45348140076061</v>
      </c>
    </row>
    <row r="34" spans="3:8" ht="21.75" customHeight="1" thickBot="1" x14ac:dyDescent="0.35">
      <c r="C34" s="56" t="s" vm="32">
        <v>285</v>
      </c>
      <c r="D34" s="181" vm="1508">
        <v>48445</v>
      </c>
      <c r="E34" s="173">
        <v>8.11</v>
      </c>
      <c r="F34" s="165" vm="434">
        <v>45692</v>
      </c>
      <c r="G34" s="173">
        <v>4.6100000000000003</v>
      </c>
      <c r="H34" s="178">
        <v>94.317267003818756</v>
      </c>
    </row>
    <row r="35" spans="3:8" ht="21.75" customHeight="1" x14ac:dyDescent="0.3">
      <c r="C35" s="95" t="s" vm="31">
        <v>286</v>
      </c>
      <c r="D35" s="182" vm="1322">
        <v>597204</v>
      </c>
      <c r="E35" s="174">
        <v>100</v>
      </c>
      <c r="F35" s="166" vm="650">
        <v>992046</v>
      </c>
      <c r="G35" s="174">
        <v>100</v>
      </c>
      <c r="H35" s="179">
        <v>166.11509634898627</v>
      </c>
    </row>
    <row r="36" spans="3:8" x14ac:dyDescent="0.3">
      <c r="D36" s="96"/>
    </row>
    <row r="37" spans="3:8" x14ac:dyDescent="0.3">
      <c r="D37" s="96"/>
    </row>
    <row r="38" spans="3:8" x14ac:dyDescent="0.3">
      <c r="D38" s="96"/>
    </row>
    <row r="39" spans="3:8" x14ac:dyDescent="0.3">
      <c r="D39" s="96"/>
    </row>
    <row r="40" spans="3:8" x14ac:dyDescent="0.3">
      <c r="D40" s="96"/>
    </row>
    <row r="41" spans="3:8" x14ac:dyDescent="0.3">
      <c r="D41" s="96"/>
    </row>
    <row r="42" spans="3:8" x14ac:dyDescent="0.3">
      <c r="D42" s="96"/>
    </row>
    <row r="43" spans="3:8" x14ac:dyDescent="0.3">
      <c r="D43" s="96"/>
    </row>
    <row r="44" spans="3:8" x14ac:dyDescent="0.3">
      <c r="D44" s="96"/>
    </row>
    <row r="45" spans="3:8" x14ac:dyDescent="0.3">
      <c r="D45" s="96"/>
    </row>
    <row r="46" spans="3:8" x14ac:dyDescent="0.3">
      <c r="D46" s="96"/>
    </row>
    <row r="47" spans="3:8" x14ac:dyDescent="0.3">
      <c r="D47" s="96"/>
    </row>
    <row r="48" spans="3:8" x14ac:dyDescent="0.3">
      <c r="D48" s="96"/>
    </row>
    <row r="49" spans="4:4" x14ac:dyDescent="0.3">
      <c r="D49" s="96"/>
    </row>
    <row r="50" spans="4:4" x14ac:dyDescent="0.3">
      <c r="D50" s="96"/>
    </row>
    <row r="51" spans="4:4" x14ac:dyDescent="0.3">
      <c r="D51" s="96"/>
    </row>
    <row r="52" spans="4:4" x14ac:dyDescent="0.3">
      <c r="D52" s="96"/>
    </row>
    <row r="53" spans="4:4" x14ac:dyDescent="0.3">
      <c r="D53" s="96"/>
    </row>
    <row r="54" spans="4:4" x14ac:dyDescent="0.3">
      <c r="D54" s="96"/>
    </row>
    <row r="55" spans="4:4" x14ac:dyDescent="0.3">
      <c r="D55" s="96"/>
    </row>
    <row r="56" spans="4:4" x14ac:dyDescent="0.3">
      <c r="D56" s="96"/>
    </row>
    <row r="57" spans="4:4" x14ac:dyDescent="0.3">
      <c r="D57" s="96"/>
    </row>
    <row r="58" spans="4:4" x14ac:dyDescent="0.3">
      <c r="D58" s="96"/>
    </row>
    <row r="59" spans="4:4" x14ac:dyDescent="0.3">
      <c r="D59" s="96"/>
    </row>
    <row r="60" spans="4:4" x14ac:dyDescent="0.3">
      <c r="D60" s="96"/>
    </row>
    <row r="61" spans="4:4" x14ac:dyDescent="0.3">
      <c r="D61" s="96"/>
    </row>
    <row r="62" spans="4:4" x14ac:dyDescent="0.3">
      <c r="D62" s="96"/>
    </row>
    <row r="63" spans="4:4" x14ac:dyDescent="0.3">
      <c r="D63" s="96"/>
    </row>
    <row r="64" spans="4:4" x14ac:dyDescent="0.3">
      <c r="D64" s="96"/>
    </row>
    <row r="65" spans="4:4" x14ac:dyDescent="0.3">
      <c r="D65" s="96"/>
    </row>
    <row r="66" spans="4:4" x14ac:dyDescent="0.3">
      <c r="D66" s="96"/>
    </row>
    <row r="67" spans="4:4" x14ac:dyDescent="0.3">
      <c r="D67" s="96"/>
    </row>
    <row r="68" spans="4:4" x14ac:dyDescent="0.3">
      <c r="D68" s="96"/>
    </row>
    <row r="69" spans="4:4" x14ac:dyDescent="0.3">
      <c r="D69" s="96"/>
    </row>
    <row r="70" spans="4:4" x14ac:dyDescent="0.3">
      <c r="D70" s="96"/>
    </row>
    <row r="71" spans="4:4" x14ac:dyDescent="0.3">
      <c r="D71" s="96"/>
    </row>
    <row r="72" spans="4:4" x14ac:dyDescent="0.3">
      <c r="D72" s="96"/>
    </row>
    <row r="73" spans="4:4" x14ac:dyDescent="0.3">
      <c r="D73" s="96"/>
    </row>
    <row r="74" spans="4:4" x14ac:dyDescent="0.3">
      <c r="D74" s="96"/>
    </row>
    <row r="75" spans="4:4" x14ac:dyDescent="0.3">
      <c r="D75" s="96"/>
    </row>
    <row r="76" spans="4:4" x14ac:dyDescent="0.3">
      <c r="D76" s="96"/>
    </row>
    <row r="77" spans="4:4" x14ac:dyDescent="0.3">
      <c r="D77" s="96"/>
    </row>
    <row r="78" spans="4:4" x14ac:dyDescent="0.3">
      <c r="D78" s="96"/>
    </row>
    <row r="79" spans="4:4" x14ac:dyDescent="0.3">
      <c r="D79" s="96"/>
    </row>
    <row r="80" spans="4:4" x14ac:dyDescent="0.3">
      <c r="D80" s="96"/>
    </row>
    <row r="81" spans="4:4" x14ac:dyDescent="0.3">
      <c r="D81" s="96"/>
    </row>
    <row r="82" spans="4:4" x14ac:dyDescent="0.3">
      <c r="D82" s="96"/>
    </row>
    <row r="83" spans="4:4" x14ac:dyDescent="0.3">
      <c r="D83" s="96"/>
    </row>
    <row r="84" spans="4:4" x14ac:dyDescent="0.3">
      <c r="D84" s="96"/>
    </row>
    <row r="85" spans="4:4" x14ac:dyDescent="0.3">
      <c r="D85" s="96"/>
    </row>
    <row r="86" spans="4:4" x14ac:dyDescent="0.3">
      <c r="D86" s="96"/>
    </row>
    <row r="87" spans="4:4" x14ac:dyDescent="0.3">
      <c r="D87" s="96"/>
    </row>
    <row r="88" spans="4:4" x14ac:dyDescent="0.3">
      <c r="D88" s="96"/>
    </row>
    <row r="89" spans="4:4" x14ac:dyDescent="0.3">
      <c r="D89" s="96"/>
    </row>
    <row r="90" spans="4:4" x14ac:dyDescent="0.3">
      <c r="D90" s="96"/>
    </row>
    <row r="91" spans="4:4" x14ac:dyDescent="0.3">
      <c r="D91" s="96"/>
    </row>
    <row r="92" spans="4:4" x14ac:dyDescent="0.3">
      <c r="D92" s="96"/>
    </row>
    <row r="93" spans="4:4" x14ac:dyDescent="0.3">
      <c r="D93" s="96"/>
    </row>
    <row r="94" spans="4:4" x14ac:dyDescent="0.3">
      <c r="D94" s="96"/>
    </row>
    <row r="95" spans="4:4" x14ac:dyDescent="0.3">
      <c r="D95" s="96"/>
    </row>
    <row r="96" spans="4:4" x14ac:dyDescent="0.3">
      <c r="D96" s="96"/>
    </row>
    <row r="97" spans="4:4" x14ac:dyDescent="0.3">
      <c r="D97" s="96"/>
    </row>
    <row r="98" spans="4:4" x14ac:dyDescent="0.3">
      <c r="D98" s="96"/>
    </row>
    <row r="99" spans="4:4" x14ac:dyDescent="0.3">
      <c r="D99" s="96"/>
    </row>
    <row r="100" spans="4:4" x14ac:dyDescent="0.3">
      <c r="D100" s="96"/>
    </row>
    <row r="101" spans="4:4" x14ac:dyDescent="0.3">
      <c r="D101" s="96"/>
    </row>
    <row r="102" spans="4:4" x14ac:dyDescent="0.3">
      <c r="D102" s="96"/>
    </row>
    <row r="103" spans="4:4" x14ac:dyDescent="0.3">
      <c r="D103" s="96"/>
    </row>
    <row r="104" spans="4:4" x14ac:dyDescent="0.3">
      <c r="D104" s="96"/>
    </row>
    <row r="105" spans="4:4" x14ac:dyDescent="0.3">
      <c r="D105" s="96"/>
    </row>
    <row r="106" spans="4:4" x14ac:dyDescent="0.3">
      <c r="D106" s="96"/>
    </row>
    <row r="107" spans="4:4" x14ac:dyDescent="0.3">
      <c r="D107" s="96"/>
    </row>
    <row r="108" spans="4:4" x14ac:dyDescent="0.3">
      <c r="D108" s="96"/>
    </row>
    <row r="109" spans="4:4" x14ac:dyDescent="0.3">
      <c r="D109" s="96"/>
    </row>
    <row r="110" spans="4:4" x14ac:dyDescent="0.3">
      <c r="D110" s="96"/>
    </row>
    <row r="111" spans="4:4" x14ac:dyDescent="0.3">
      <c r="D111" s="96"/>
    </row>
    <row r="112" spans="4:4" x14ac:dyDescent="0.3">
      <c r="D112" s="96"/>
    </row>
    <row r="113" spans="4:4" x14ac:dyDescent="0.3">
      <c r="D113" s="96"/>
    </row>
    <row r="114" spans="4:4" x14ac:dyDescent="0.3">
      <c r="D114" s="96"/>
    </row>
    <row r="115" spans="4:4" x14ac:dyDescent="0.3">
      <c r="D115" s="96"/>
    </row>
    <row r="116" spans="4:4" x14ac:dyDescent="0.3">
      <c r="D116" s="96"/>
    </row>
    <row r="117" spans="4:4" x14ac:dyDescent="0.3">
      <c r="D117" s="96"/>
    </row>
    <row r="118" spans="4:4" x14ac:dyDescent="0.3">
      <c r="D118" s="96"/>
    </row>
    <row r="119" spans="4:4" x14ac:dyDescent="0.3">
      <c r="D119" s="96"/>
    </row>
    <row r="120" spans="4:4" x14ac:dyDescent="0.3">
      <c r="D120" s="96"/>
    </row>
    <row r="121" spans="4:4" x14ac:dyDescent="0.3">
      <c r="D121" s="96"/>
    </row>
    <row r="122" spans="4:4" x14ac:dyDescent="0.3">
      <c r="D122" s="96"/>
    </row>
    <row r="123" spans="4:4" x14ac:dyDescent="0.3">
      <c r="D123" s="96"/>
    </row>
    <row r="124" spans="4:4" x14ac:dyDescent="0.3">
      <c r="D124" s="96"/>
    </row>
    <row r="125" spans="4:4" x14ac:dyDescent="0.3">
      <c r="D125" s="96"/>
    </row>
    <row r="126" spans="4:4" x14ac:dyDescent="0.3">
      <c r="D126" s="96"/>
    </row>
    <row r="127" spans="4:4" x14ac:dyDescent="0.3">
      <c r="D127" s="96"/>
    </row>
    <row r="128" spans="4:4" x14ac:dyDescent="0.3">
      <c r="D128" s="96"/>
    </row>
    <row r="129" spans="4:4" x14ac:dyDescent="0.3">
      <c r="D129" s="96"/>
    </row>
    <row r="130" spans="4:4" x14ac:dyDescent="0.3">
      <c r="D130" s="96"/>
    </row>
    <row r="131" spans="4:4" x14ac:dyDescent="0.3">
      <c r="D131" s="96"/>
    </row>
  </sheetData>
  <mergeCells count="3">
    <mergeCell ref="B1:J1"/>
    <mergeCell ref="B5:B6"/>
    <mergeCell ref="C5:C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31"/>
  <sheetViews>
    <sheetView showGridLines="0" zoomScale="90" zoomScaleNormal="90" workbookViewId="0">
      <selection activeCell="B3" sqref="B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0.69921875" style="8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5.3984375" style="8" customWidth="1"/>
    <col min="9" max="9" width="1.59765625" style="8" customWidth="1"/>
    <col min="10" max="10" width="7.296875" style="8" customWidth="1"/>
    <col min="11" max="16384" width="9.296875" style="8"/>
  </cols>
  <sheetData>
    <row r="1" spans="1:10" s="22" customFormat="1" ht="58.85" customHeight="1" x14ac:dyDescent="0.35">
      <c r="A1" s="61"/>
      <c r="B1" s="336" t="s">
        <v>282</v>
      </c>
      <c r="C1" s="336"/>
      <c r="D1" s="336"/>
      <c r="E1" s="336"/>
      <c r="F1" s="336"/>
      <c r="G1" s="336"/>
      <c r="H1" s="336"/>
      <c r="I1" s="336"/>
      <c r="J1" s="336"/>
    </row>
    <row r="2" spans="1:10" s="22" customFormat="1" ht="12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0.55" customHeight="1" x14ac:dyDescent="0.25"/>
    <row r="4" spans="1:10" ht="14.95" thickBot="1" x14ac:dyDescent="0.35"/>
    <row r="5" spans="1:10" s="62" customFormat="1" ht="23.3" x14ac:dyDescent="0.3">
      <c r="B5" s="350"/>
      <c r="C5" s="352" t="s">
        <v>40</v>
      </c>
      <c r="D5" s="4" t="s">
        <v>43</v>
      </c>
      <c r="E5" s="4" t="s">
        <v>38</v>
      </c>
      <c r="F5" s="4" t="s">
        <v>43</v>
      </c>
      <c r="G5" s="4" t="s">
        <v>38</v>
      </c>
      <c r="H5" s="4" t="s">
        <v>62</v>
      </c>
      <c r="I5" s="74"/>
    </row>
    <row r="6" spans="1:10" s="63" customFormat="1" ht="14.95" thickBot="1" x14ac:dyDescent="0.35">
      <c r="B6" s="351"/>
      <c r="C6" s="353"/>
      <c r="D6" s="24" t="s">
        <v>125</v>
      </c>
      <c r="E6" s="24">
        <v>2013</v>
      </c>
      <c r="F6" s="24" t="s">
        <v>126</v>
      </c>
      <c r="G6" s="24">
        <v>2014</v>
      </c>
      <c r="H6" s="24" t="s">
        <v>283</v>
      </c>
      <c r="I6" s="68"/>
    </row>
    <row r="7" spans="1:10" s="64" customFormat="1" ht="3.75" customHeight="1" x14ac:dyDescent="0.3">
      <c r="B7" s="59"/>
      <c r="C7" s="60"/>
      <c r="D7" s="100"/>
      <c r="E7" s="100"/>
      <c r="F7" s="100"/>
      <c r="G7" s="100"/>
      <c r="H7" s="100"/>
      <c r="I7" s="58"/>
    </row>
    <row r="8" spans="1:10" ht="21.75" customHeight="1" x14ac:dyDescent="0.3">
      <c r="C8" s="75" t="s" vm="48">
        <v>272</v>
      </c>
      <c r="D8" s="180" vm="692">
        <v>89577648.160000026</v>
      </c>
      <c r="E8" s="170">
        <v>2.67</v>
      </c>
      <c r="F8" s="180" vm="486">
        <v>84676347.319999978</v>
      </c>
      <c r="G8" s="170">
        <v>2.69</v>
      </c>
      <c r="H8" s="175">
        <v>94.528433218914671</v>
      </c>
    </row>
    <row r="9" spans="1:10" ht="21.75" customHeight="1" x14ac:dyDescent="0.3">
      <c r="C9" s="75" t="s" vm="45">
        <v>278</v>
      </c>
      <c r="D9" s="180" vm="684">
        <v>116034401.72</v>
      </c>
      <c r="E9" s="170">
        <v>3.45</v>
      </c>
      <c r="F9" s="180" vm="632">
        <v>113037560.67999999</v>
      </c>
      <c r="G9" s="170">
        <v>3.59</v>
      </c>
      <c r="H9" s="175">
        <v>97.417282292512169</v>
      </c>
    </row>
    <row r="10" spans="1:10" ht="21.75" customHeight="1" x14ac:dyDescent="0.3">
      <c r="C10" s="75" t="s" vm="36">
        <v>249</v>
      </c>
      <c r="D10" s="180" vm="677">
        <v>457189244.83000004</v>
      </c>
      <c r="E10" s="170">
        <v>13.61</v>
      </c>
      <c r="F10" s="180" vm="471">
        <v>425545969.73999995</v>
      </c>
      <c r="G10" s="170">
        <v>13.5</v>
      </c>
      <c r="H10" s="175">
        <v>93.078735895949123</v>
      </c>
    </row>
    <row r="11" spans="1:10" ht="21.75" customHeight="1" x14ac:dyDescent="0.3">
      <c r="C11" s="75" t="s" vm="51">
        <v>251</v>
      </c>
      <c r="D11" s="180" vm="671">
        <v>1231268.1500000001</v>
      </c>
      <c r="E11" s="170">
        <v>0.04</v>
      </c>
      <c r="F11" s="180" vm="466">
        <v>1101010.1100000001</v>
      </c>
      <c r="G11" s="170">
        <v>0.03</v>
      </c>
      <c r="H11" s="175">
        <v>89.420822750917424</v>
      </c>
    </row>
    <row r="12" spans="1:10" ht="21.75" customHeight="1" x14ac:dyDescent="0.3">
      <c r="C12" s="75" t="s" vm="38">
        <v>254</v>
      </c>
      <c r="D12" s="180" vm="681">
        <v>2841485.7399999998</v>
      </c>
      <c r="E12" s="170">
        <v>0.08</v>
      </c>
      <c r="F12" s="180" vm="634">
        <v>12624174.700000001</v>
      </c>
      <c r="G12" s="170">
        <v>0.4</v>
      </c>
      <c r="H12" s="175">
        <v>444.28076911623009</v>
      </c>
    </row>
    <row r="13" spans="1:10" ht="21.75" customHeight="1" x14ac:dyDescent="0.3">
      <c r="C13" s="75" t="s" vm="44">
        <v>261</v>
      </c>
      <c r="D13" s="180" vm="693">
        <v>50838441.549999997</v>
      </c>
      <c r="E13" s="170">
        <v>1.51</v>
      </c>
      <c r="F13" s="180" vm="424">
        <v>72388762.060000002</v>
      </c>
      <c r="G13" s="170">
        <v>2.2999999999999998</v>
      </c>
      <c r="H13" s="175">
        <v>142.38981340292483</v>
      </c>
    </row>
    <row r="14" spans="1:10" ht="21.75" customHeight="1" x14ac:dyDescent="0.3">
      <c r="C14" s="75" t="s" vm="35">
        <v>225</v>
      </c>
      <c r="D14" s="180" vm="686">
        <v>8545249.3200000003</v>
      </c>
      <c r="E14" s="170">
        <v>0.25</v>
      </c>
      <c r="F14" s="180" vm="475">
        <v>8508123.2100000009</v>
      </c>
      <c r="G14" s="170">
        <v>0.27</v>
      </c>
      <c r="H14" s="175">
        <v>99.565535087278192</v>
      </c>
    </row>
    <row r="15" spans="1:10" ht="21.75" customHeight="1" x14ac:dyDescent="0.3">
      <c r="C15" s="75" t="s" vm="50">
        <v>229</v>
      </c>
      <c r="D15" s="180" vm="670">
        <v>199713733.57999986</v>
      </c>
      <c r="E15" s="170">
        <v>5.95</v>
      </c>
      <c r="F15" s="180" vm="615">
        <v>189471350.8499999</v>
      </c>
      <c r="G15" s="170">
        <v>6.01</v>
      </c>
      <c r="H15" s="175">
        <v>94.871468002526157</v>
      </c>
    </row>
    <row r="16" spans="1:10" ht="21.75" customHeight="1" x14ac:dyDescent="0.3">
      <c r="C16" s="75" t="s" vm="47">
        <v>243</v>
      </c>
      <c r="D16" s="180" vm="678">
        <v>324308129.42999995</v>
      </c>
      <c r="E16" s="170">
        <v>9.65</v>
      </c>
      <c r="F16" s="180" vm="614">
        <v>280883292.57000017</v>
      </c>
      <c r="G16" s="170">
        <v>8.91</v>
      </c>
      <c r="H16" s="175">
        <v>86.6100066821258</v>
      </c>
    </row>
    <row r="17" spans="3:8" ht="21.75" customHeight="1" x14ac:dyDescent="0.3">
      <c r="C17" s="75" t="s" vm="43">
        <v>210</v>
      </c>
      <c r="D17" s="180" vm="680">
        <v>787315422.81999981</v>
      </c>
      <c r="E17" s="170">
        <v>23.44</v>
      </c>
      <c r="F17" s="180" vm="429">
        <v>728535245.2099998</v>
      </c>
      <c r="G17" s="170">
        <v>23.11</v>
      </c>
      <c r="H17" s="175">
        <v>92.534100576937547</v>
      </c>
    </row>
    <row r="18" spans="3:8" ht="21.75" customHeight="1" x14ac:dyDescent="0.3">
      <c r="C18" s="75" t="s" vm="34">
        <v>213</v>
      </c>
      <c r="D18" s="180" vm="676">
        <v>65653.320000000007</v>
      </c>
      <c r="E18" s="170">
        <v>0</v>
      </c>
      <c r="F18" s="180" vm="426">
        <v>8550.06</v>
      </c>
      <c r="G18" s="170">
        <v>0</v>
      </c>
      <c r="H18" s="175">
        <v>13.023042856020073</v>
      </c>
    </row>
    <row r="19" spans="3:8" ht="21.75" customHeight="1" x14ac:dyDescent="0.3">
      <c r="C19" s="75" t="s" vm="39">
        <v>218</v>
      </c>
      <c r="D19" s="180" vm="682">
        <v>2521203.1399999997</v>
      </c>
      <c r="E19" s="170">
        <v>0.08</v>
      </c>
      <c r="F19" s="180" vm="618">
        <v>3568309.71</v>
      </c>
      <c r="G19" s="170">
        <v>0.11</v>
      </c>
      <c r="H19" s="175">
        <v>141.53201911369985</v>
      </c>
    </row>
    <row r="20" spans="3:8" ht="21.75" customHeight="1" x14ac:dyDescent="0.3">
      <c r="C20" s="75" t="s" vm="37">
        <v>203</v>
      </c>
      <c r="D20" s="180" vm="695">
        <v>102666428.89000002</v>
      </c>
      <c r="E20" s="170">
        <v>3.06</v>
      </c>
      <c r="F20" s="180" vm="557">
        <v>98621422.529999956</v>
      </c>
      <c r="G20" s="170">
        <v>3.13</v>
      </c>
      <c r="H20" s="175">
        <v>96.060049615309012</v>
      </c>
    </row>
    <row r="21" spans="3:8" ht="21.75" customHeight="1" x14ac:dyDescent="0.3">
      <c r="C21" s="75" t="s" vm="42">
        <v>162</v>
      </c>
      <c r="D21" s="180" vm="687">
        <v>24591747.609999999</v>
      </c>
      <c r="E21" s="170">
        <v>0.73</v>
      </c>
      <c r="F21" s="180" vm="476">
        <v>18288729.559999999</v>
      </c>
      <c r="G21" s="170">
        <v>0.57999999999999996</v>
      </c>
      <c r="H21" s="175">
        <v>74.369377280706388</v>
      </c>
    </row>
    <row r="22" spans="3:8" ht="21.75" customHeight="1" x14ac:dyDescent="0.3">
      <c r="C22" s="75" t="s" vm="33">
        <v>165</v>
      </c>
      <c r="D22" s="180" vm="674">
        <v>1639950.0299999996</v>
      </c>
      <c r="E22" s="170">
        <v>0.05</v>
      </c>
      <c r="F22" s="180" vm="447">
        <v>6356359.3499999987</v>
      </c>
      <c r="G22" s="170">
        <v>0.2</v>
      </c>
      <c r="H22" s="175">
        <v>387.59469701646947</v>
      </c>
    </row>
    <row r="23" spans="3:8" ht="21.75" customHeight="1" x14ac:dyDescent="0.3">
      <c r="C23" s="75" t="s" vm="49">
        <v>172</v>
      </c>
      <c r="D23" s="180" vm="685">
        <v>68150256.859999999</v>
      </c>
      <c r="E23" s="170">
        <v>2.0299999999999998</v>
      </c>
      <c r="F23" s="180" vm="458">
        <v>14463799.289999999</v>
      </c>
      <c r="G23" s="170">
        <v>0.46</v>
      </c>
      <c r="H23" s="175">
        <v>21.223396589264151</v>
      </c>
    </row>
    <row r="24" spans="3:8" ht="21.75" customHeight="1" x14ac:dyDescent="0.3">
      <c r="C24" s="75" t="s" vm="46">
        <v>174</v>
      </c>
      <c r="D24" s="180" vm="690">
        <v>62934.59</v>
      </c>
      <c r="E24" s="170">
        <v>0</v>
      </c>
      <c r="F24" s="180" vm="436">
        <v>114451.55</v>
      </c>
      <c r="G24" s="170">
        <v>0</v>
      </c>
      <c r="H24" s="175">
        <v>181.8579417137698</v>
      </c>
    </row>
    <row r="25" spans="3:8" ht="21.75" customHeight="1" thickBot="1" x14ac:dyDescent="0.35">
      <c r="C25" s="93" t="s" vm="41">
        <v>179</v>
      </c>
      <c r="D25" s="186" vm="691">
        <v>13783530.780000001</v>
      </c>
      <c r="E25" s="171">
        <v>0.41</v>
      </c>
      <c r="F25" s="186" vm="435">
        <v>11579455.93</v>
      </c>
      <c r="G25" s="171">
        <v>0.37</v>
      </c>
      <c r="H25" s="176">
        <v>84.00935953799204</v>
      </c>
    </row>
    <row r="26" spans="3:8" ht="21.75" customHeight="1" x14ac:dyDescent="0.3">
      <c r="C26" s="94" t="s" vm="199">
        <v>136</v>
      </c>
      <c r="D26" s="187" vm="694">
        <v>1008944059.4899998</v>
      </c>
      <c r="E26" s="172">
        <v>30.04</v>
      </c>
      <c r="F26" s="187" vm="636">
        <v>970720693.40999973</v>
      </c>
      <c r="G26" s="172">
        <v>30.79</v>
      </c>
      <c r="H26" s="177">
        <v>96.211547536211157</v>
      </c>
    </row>
    <row r="27" spans="3:8" ht="21.75" customHeight="1" x14ac:dyDescent="0.3">
      <c r="C27" s="75" t="s" vm="182">
        <v>140</v>
      </c>
      <c r="D27" s="180" vm="669">
        <v>6548665.8500000006</v>
      </c>
      <c r="E27" s="170">
        <v>0.19</v>
      </c>
      <c r="F27" s="180" vm="501">
        <v>7685011.1599999992</v>
      </c>
      <c r="G27" s="170">
        <v>0.24</v>
      </c>
      <c r="H27" s="175">
        <v>117.35231780073185</v>
      </c>
    </row>
    <row r="28" spans="3:8" ht="21.75" customHeight="1" x14ac:dyDescent="0.3">
      <c r="C28" s="75" t="s" vm="180">
        <v>144</v>
      </c>
      <c r="D28" s="180" vm="673">
        <v>19865307.91</v>
      </c>
      <c r="E28" s="170">
        <v>0.59</v>
      </c>
      <c r="F28" s="180" vm="464">
        <v>18128560.449999999</v>
      </c>
      <c r="G28" s="170">
        <v>0.57999999999999996</v>
      </c>
      <c r="H28" s="175">
        <v>91.257384643276836</v>
      </c>
    </row>
    <row r="29" spans="3:8" ht="21.75" customHeight="1" x14ac:dyDescent="0.3">
      <c r="C29" s="75" t="s" vm="178">
        <v>146</v>
      </c>
      <c r="D29" s="180" vm="683">
        <v>4307501.4300000006</v>
      </c>
      <c r="E29" s="170">
        <v>0.13</v>
      </c>
      <c r="F29" s="180" vm="616">
        <v>4930925.83</v>
      </c>
      <c r="G29" s="170">
        <v>0.16</v>
      </c>
      <c r="H29" s="175">
        <v>114.47299345411939</v>
      </c>
    </row>
    <row r="30" spans="3:8" ht="21.75" customHeight="1" x14ac:dyDescent="0.3">
      <c r="C30" s="75" t="s" vm="177">
        <v>152</v>
      </c>
      <c r="D30" s="180" vm="688">
        <v>68245965.129999995</v>
      </c>
      <c r="E30" s="170">
        <v>2.0299999999999998</v>
      </c>
      <c r="F30" s="180" vm="631">
        <v>81336381.359999999</v>
      </c>
      <c r="G30" s="170">
        <v>2.58</v>
      </c>
      <c r="H30" s="175">
        <v>119.18123101499761</v>
      </c>
    </row>
    <row r="31" spans="3:8" ht="21.75" customHeight="1" x14ac:dyDescent="0.3">
      <c r="C31" s="75" t="s" vm="174">
        <v>154</v>
      </c>
      <c r="D31" s="180" vm="689">
        <v>0</v>
      </c>
      <c r="E31" s="170">
        <v>0</v>
      </c>
      <c r="F31" s="180" vm="551">
        <v>0</v>
      </c>
      <c r="G31" s="170">
        <v>0</v>
      </c>
      <c r="H31" s="175" t="s">
        <v>127</v>
      </c>
    </row>
    <row r="32" spans="3:8" ht="21.75" customHeight="1" x14ac:dyDescent="0.3">
      <c r="C32" s="75" t="s" vm="173">
        <v>156</v>
      </c>
      <c r="D32" s="180" vm="696">
        <v>0</v>
      </c>
      <c r="E32" s="170">
        <v>0</v>
      </c>
      <c r="F32" s="180" vm="516">
        <v>0</v>
      </c>
      <c r="G32" s="170">
        <v>0</v>
      </c>
      <c r="H32" s="175" t="s">
        <v>127</v>
      </c>
    </row>
    <row r="33" spans="3:8" ht="21.75" customHeight="1" x14ac:dyDescent="0.3">
      <c r="C33" s="56" t="s" vm="40">
        <v>284</v>
      </c>
      <c r="D33" s="181" vm="672">
        <v>2251076730.52</v>
      </c>
      <c r="E33" s="173">
        <v>67.02</v>
      </c>
      <c r="F33" s="181" vm="450">
        <v>2069772914.4299998</v>
      </c>
      <c r="G33" s="173">
        <v>65.650000000000006</v>
      </c>
      <c r="H33" s="178">
        <v>91.945906879499432</v>
      </c>
    </row>
    <row r="34" spans="3:8" ht="21.75" customHeight="1" thickBot="1" x14ac:dyDescent="0.35">
      <c r="C34" s="56" t="s" vm="32">
        <v>285</v>
      </c>
      <c r="D34" s="181" vm="679">
        <v>1107911499.8099997</v>
      </c>
      <c r="E34" s="173">
        <v>32.979999999999997</v>
      </c>
      <c r="F34" s="181" vm="481">
        <v>1082801572.2099996</v>
      </c>
      <c r="G34" s="173">
        <v>34.35</v>
      </c>
      <c r="H34" s="178">
        <v>97.733580019315042</v>
      </c>
    </row>
    <row r="35" spans="3:8" ht="21.75" customHeight="1" x14ac:dyDescent="0.3">
      <c r="C35" s="95" t="s" vm="31">
        <v>286</v>
      </c>
      <c r="D35" s="182" vm="675">
        <v>3358988230.3300004</v>
      </c>
      <c r="E35" s="174">
        <v>100</v>
      </c>
      <c r="F35" s="182" vm="608">
        <v>3152574486.6400013</v>
      </c>
      <c r="G35" s="174">
        <v>100</v>
      </c>
      <c r="H35" s="179">
        <v>93.854883389403227</v>
      </c>
    </row>
    <row r="36" spans="3:8" x14ac:dyDescent="0.3">
      <c r="D36" s="96"/>
    </row>
    <row r="37" spans="3:8" x14ac:dyDescent="0.3">
      <c r="D37" s="96"/>
    </row>
    <row r="38" spans="3:8" x14ac:dyDescent="0.3">
      <c r="D38" s="96"/>
    </row>
    <row r="39" spans="3:8" x14ac:dyDescent="0.3">
      <c r="D39" s="96"/>
    </row>
    <row r="40" spans="3:8" x14ac:dyDescent="0.3">
      <c r="D40" s="96"/>
    </row>
    <row r="41" spans="3:8" x14ac:dyDescent="0.3">
      <c r="D41" s="96"/>
    </row>
    <row r="42" spans="3:8" x14ac:dyDescent="0.3">
      <c r="D42" s="96"/>
    </row>
    <row r="43" spans="3:8" x14ac:dyDescent="0.3">
      <c r="D43" s="96"/>
    </row>
    <row r="44" spans="3:8" x14ac:dyDescent="0.3">
      <c r="D44" s="96"/>
    </row>
    <row r="45" spans="3:8" x14ac:dyDescent="0.3">
      <c r="D45" s="96"/>
    </row>
    <row r="46" spans="3:8" x14ac:dyDescent="0.3">
      <c r="D46" s="96"/>
    </row>
    <row r="47" spans="3:8" x14ac:dyDescent="0.3">
      <c r="D47" s="96"/>
    </row>
    <row r="48" spans="3:8" x14ac:dyDescent="0.3">
      <c r="D48" s="96"/>
    </row>
    <row r="49" spans="4:4" x14ac:dyDescent="0.3">
      <c r="D49" s="96"/>
    </row>
    <row r="50" spans="4:4" x14ac:dyDescent="0.3">
      <c r="D50" s="96"/>
    </row>
    <row r="51" spans="4:4" x14ac:dyDescent="0.3">
      <c r="D51" s="96"/>
    </row>
    <row r="52" spans="4:4" x14ac:dyDescent="0.3">
      <c r="D52" s="96"/>
    </row>
    <row r="53" spans="4:4" x14ac:dyDescent="0.3">
      <c r="D53" s="96"/>
    </row>
    <row r="54" spans="4:4" x14ac:dyDescent="0.3">
      <c r="D54" s="96"/>
    </row>
    <row r="55" spans="4:4" x14ac:dyDescent="0.3">
      <c r="D55" s="96"/>
    </row>
    <row r="56" spans="4:4" x14ac:dyDescent="0.3">
      <c r="D56" s="96"/>
    </row>
    <row r="57" spans="4:4" x14ac:dyDescent="0.3">
      <c r="D57" s="96"/>
    </row>
    <row r="58" spans="4:4" x14ac:dyDescent="0.3">
      <c r="D58" s="96"/>
    </row>
    <row r="59" spans="4:4" x14ac:dyDescent="0.3">
      <c r="D59" s="96"/>
    </row>
    <row r="60" spans="4:4" x14ac:dyDescent="0.3">
      <c r="D60" s="96"/>
    </row>
    <row r="61" spans="4:4" x14ac:dyDescent="0.3">
      <c r="D61" s="96"/>
    </row>
    <row r="62" spans="4:4" x14ac:dyDescent="0.3">
      <c r="D62" s="96"/>
    </row>
    <row r="63" spans="4:4" x14ac:dyDescent="0.3">
      <c r="D63" s="96"/>
    </row>
    <row r="64" spans="4:4" x14ac:dyDescent="0.3">
      <c r="D64" s="96"/>
    </row>
    <row r="65" spans="4:4" x14ac:dyDescent="0.3">
      <c r="D65" s="96"/>
    </row>
    <row r="66" spans="4:4" x14ac:dyDescent="0.3">
      <c r="D66" s="96"/>
    </row>
    <row r="67" spans="4:4" x14ac:dyDescent="0.3">
      <c r="D67" s="96"/>
    </row>
    <row r="68" spans="4:4" x14ac:dyDescent="0.3">
      <c r="D68" s="96"/>
    </row>
    <row r="69" spans="4:4" x14ac:dyDescent="0.3">
      <c r="D69" s="96"/>
    </row>
    <row r="70" spans="4:4" x14ac:dyDescent="0.3">
      <c r="D70" s="96"/>
    </row>
    <row r="71" spans="4:4" x14ac:dyDescent="0.3">
      <c r="D71" s="96"/>
    </row>
    <row r="72" spans="4:4" x14ac:dyDescent="0.3">
      <c r="D72" s="96"/>
    </row>
    <row r="73" spans="4:4" x14ac:dyDescent="0.3">
      <c r="D73" s="96"/>
    </row>
    <row r="74" spans="4:4" x14ac:dyDescent="0.3">
      <c r="D74" s="96"/>
    </row>
    <row r="75" spans="4:4" x14ac:dyDescent="0.3">
      <c r="D75" s="96"/>
    </row>
    <row r="76" spans="4:4" x14ac:dyDescent="0.3">
      <c r="D76" s="96"/>
    </row>
    <row r="77" spans="4:4" x14ac:dyDescent="0.3">
      <c r="D77" s="96"/>
    </row>
    <row r="78" spans="4:4" x14ac:dyDescent="0.3">
      <c r="D78" s="96"/>
    </row>
    <row r="79" spans="4:4" x14ac:dyDescent="0.3">
      <c r="D79" s="96"/>
    </row>
    <row r="80" spans="4:4" x14ac:dyDescent="0.3">
      <c r="D80" s="96"/>
    </row>
    <row r="81" spans="4:4" x14ac:dyDescent="0.3">
      <c r="D81" s="96"/>
    </row>
    <row r="82" spans="4:4" x14ac:dyDescent="0.3">
      <c r="D82" s="96"/>
    </row>
    <row r="83" spans="4:4" x14ac:dyDescent="0.3">
      <c r="D83" s="96"/>
    </row>
    <row r="84" spans="4:4" x14ac:dyDescent="0.3">
      <c r="D84" s="96"/>
    </row>
    <row r="85" spans="4:4" x14ac:dyDescent="0.3">
      <c r="D85" s="96"/>
    </row>
    <row r="86" spans="4:4" x14ac:dyDescent="0.3">
      <c r="D86" s="96"/>
    </row>
    <row r="87" spans="4:4" x14ac:dyDescent="0.3">
      <c r="D87" s="96"/>
    </row>
    <row r="88" spans="4:4" x14ac:dyDescent="0.3">
      <c r="D88" s="96"/>
    </row>
    <row r="89" spans="4:4" x14ac:dyDescent="0.3">
      <c r="D89" s="96"/>
    </row>
    <row r="90" spans="4:4" x14ac:dyDescent="0.3">
      <c r="D90" s="96"/>
    </row>
    <row r="91" spans="4:4" x14ac:dyDescent="0.3">
      <c r="D91" s="96"/>
    </row>
    <row r="92" spans="4:4" x14ac:dyDescent="0.3">
      <c r="D92" s="96"/>
    </row>
    <row r="93" spans="4:4" x14ac:dyDescent="0.3">
      <c r="D93" s="96"/>
    </row>
    <row r="94" spans="4:4" x14ac:dyDescent="0.3">
      <c r="D94" s="96"/>
    </row>
    <row r="95" spans="4:4" x14ac:dyDescent="0.3">
      <c r="D95" s="96"/>
    </row>
    <row r="96" spans="4:4" x14ac:dyDescent="0.3">
      <c r="D96" s="96"/>
    </row>
    <row r="97" spans="4:4" x14ac:dyDescent="0.3">
      <c r="D97" s="96"/>
    </row>
    <row r="98" spans="4:4" x14ac:dyDescent="0.3">
      <c r="D98" s="96"/>
    </row>
    <row r="99" spans="4:4" x14ac:dyDescent="0.3">
      <c r="D99" s="96"/>
    </row>
    <row r="100" spans="4:4" x14ac:dyDescent="0.3">
      <c r="D100" s="96"/>
    </row>
    <row r="101" spans="4:4" x14ac:dyDescent="0.3">
      <c r="D101" s="96"/>
    </row>
    <row r="102" spans="4:4" x14ac:dyDescent="0.3">
      <c r="D102" s="96"/>
    </row>
    <row r="103" spans="4:4" x14ac:dyDescent="0.3">
      <c r="D103" s="96"/>
    </row>
    <row r="104" spans="4:4" x14ac:dyDescent="0.3">
      <c r="D104" s="96"/>
    </row>
    <row r="105" spans="4:4" x14ac:dyDescent="0.3">
      <c r="D105" s="96"/>
    </row>
    <row r="106" spans="4:4" x14ac:dyDescent="0.3">
      <c r="D106" s="96"/>
    </row>
    <row r="107" spans="4:4" x14ac:dyDescent="0.3">
      <c r="D107" s="96"/>
    </row>
    <row r="108" spans="4:4" x14ac:dyDescent="0.3">
      <c r="D108" s="96"/>
    </row>
    <row r="109" spans="4:4" x14ac:dyDescent="0.3">
      <c r="D109" s="96"/>
    </row>
    <row r="110" spans="4:4" x14ac:dyDescent="0.3">
      <c r="D110" s="96"/>
    </row>
    <row r="111" spans="4:4" x14ac:dyDescent="0.3">
      <c r="D111" s="96"/>
    </row>
    <row r="112" spans="4:4" x14ac:dyDescent="0.3">
      <c r="D112" s="96"/>
    </row>
    <row r="113" spans="4:4" x14ac:dyDescent="0.3">
      <c r="D113" s="96"/>
    </row>
    <row r="114" spans="4:4" x14ac:dyDescent="0.3">
      <c r="D114" s="96"/>
    </row>
    <row r="115" spans="4:4" x14ac:dyDescent="0.3">
      <c r="D115" s="96"/>
    </row>
    <row r="116" spans="4:4" x14ac:dyDescent="0.3">
      <c r="D116" s="96"/>
    </row>
    <row r="117" spans="4:4" x14ac:dyDescent="0.3">
      <c r="D117" s="96"/>
    </row>
    <row r="118" spans="4:4" x14ac:dyDescent="0.3">
      <c r="D118" s="96"/>
    </row>
    <row r="119" spans="4:4" x14ac:dyDescent="0.3">
      <c r="D119" s="96"/>
    </row>
    <row r="120" spans="4:4" x14ac:dyDescent="0.3">
      <c r="D120" s="96"/>
    </row>
    <row r="121" spans="4:4" x14ac:dyDescent="0.3">
      <c r="D121" s="96"/>
    </row>
    <row r="122" spans="4:4" x14ac:dyDescent="0.3">
      <c r="D122" s="96"/>
    </row>
    <row r="123" spans="4:4" x14ac:dyDescent="0.3">
      <c r="D123" s="96"/>
    </row>
    <row r="124" spans="4:4" x14ac:dyDescent="0.3">
      <c r="D124" s="96"/>
    </row>
    <row r="125" spans="4:4" x14ac:dyDescent="0.3">
      <c r="D125" s="96"/>
    </row>
    <row r="126" spans="4:4" x14ac:dyDescent="0.3">
      <c r="D126" s="96"/>
    </row>
    <row r="127" spans="4:4" x14ac:dyDescent="0.3">
      <c r="D127" s="96"/>
    </row>
    <row r="128" spans="4:4" x14ac:dyDescent="0.3">
      <c r="D128" s="96"/>
    </row>
    <row r="129" spans="4:4" x14ac:dyDescent="0.3">
      <c r="D129" s="96"/>
    </row>
    <row r="130" spans="4:4" x14ac:dyDescent="0.3">
      <c r="D130" s="96"/>
    </row>
    <row r="131" spans="4:4" x14ac:dyDescent="0.3">
      <c r="D131" s="96"/>
    </row>
  </sheetData>
  <mergeCells count="3">
    <mergeCell ref="B1:J1"/>
    <mergeCell ref="B5:B6"/>
    <mergeCell ref="C5:C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3 5 1 d 1 d 8 5 - 2 1 c e - 4 a 4 9 - 9 5 1 d - a 5 d 6 f f 5 5 f 7 e c , e 0 c 5 e f e 4 - 3 0 3 8 - 4 d 3 9 - a 8 c 4 - 6 4 5 c b 8 9 5 5 f 2 5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3 5 1 d 1 d 8 5 - 2 1 c e - 4 a 4 9 - 9 5 1 d - a 5 d 6 f f 5 5 f 7 e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 N a z i v D r u s t v a < / s t r i n g > < / k e y > < v a l u e > < s t r i n g > T e x t < / s t r i n g > < / v a l u e > < / i t e m > < i t e m > < k e y > < s t r i n g > I D D r u s t v o < / s t r i n g > < / k e y > < v a l u e > < s t r i n g > G e n e r a l < / s t r i n g > < / v a l u e > < / i t e m > < i t e m > < k e y > < s t r i n g > C l a n s t v o H U O < / s t r i n g > < / k e y > < v a l u e > < s t r i n g > B o o l e a n 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 N a z i v D r u s t v a < / s t r i n g > < / k e y > < v a l u e > < i n t > 0 < / i n t > < / v a l u e > < / i t e m > < i t e m > < k e y > < s t r i n g > I D D r u s t v o < / s t r i n g > < / k e y > < v a l u e > < i n t > 0 < / i n t > < / v a l u e > < / i t e m > < i t e m > < k e y > < s t r i n g > C l a n s t v o H U O 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 N a z i v D r u s t v a < / s t r i n g > < / k e y > < v a l u e > < s t r i n g > k n < / s t r i n g > < / v a l u e > < / i t e m > < i t e m > < k e y > < s t r i n g > I D D r u s t v o < / s t r i n g > < / k e y > < v a l u e > < s t r i n g > k n < / s t r i n g > < / v a l u e > < / i t e m > < i t e m > < k e y > < s t r i n g > C l a n s t v o H U O 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 N a z i v D r u s t v a < / s t r i n g > < / k e y > < v a l u e > < i n t > 3 < / i n t > < / v a l u e > < / i t e m > < i t e m > < k e y > < s t r i n g > I D D r u s t v o < / s t r i n g > < / k e y > < v a l u e > < i n t > 3 < / i n t > < / v a l u e > < / i t e m > < i t e m > < k e y > < s t r i n g > C l a n s t v o H U O 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 N a z i v D r u s t v a < / s t r i n g > < / k e y > < v a l u e > < i n t > 8 < / i n t > < / v a l u e > < / i t e m > < i t e m > < k e y > < s t r i n g > I D D r u s t v o < / s t r i n g > < / k e y > < v a l u e > < i n t > 8 < / i n t > < / v a l u e > < / i t e m > < i t e m > < k e y > < s t r i n g > C l a n s t v o H U O 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 N a z i v D r u s t v a < / s t r i n g > < / k e y > < v a l u e > < i n t > 3 3 9 < / i n t > < / v a l u e > < / i t e m > < i t e m > < k e y > < s t r i n g > I D D r u s t v o < / s t r i n g > < / k e y > < v a l u e > < i n t > 9 4 < / i n t > < / v a l u e > < / i t e m > < i t e m > < k e y > < s t r i n g > C l a n s t v o H U O < / s t r i n g > < / k e y > < v a l u e > < i n t > 1 1 4 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 N a z i v D r u s t v a < / s t r i n g > < / k e y > < v a l u e > < i n t > 0 < / i n t > < / v a l u e > < / i t e m > < i t e m > < k e y > < s t r i n g > I D D r u s t v o < / s t r i n g > < / k e y > < v a l u e > < i n t > 1 < / i n t > < / v a l u e > < / i t e m > < i t e m > < k e y > < s t r i n g > C l a n s t v o H U O 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 N a z i v D r u s t v a < / S o r t B y C o l u m n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e 0 c 5 e f e 4 - 3 0 3 8 - 4 d 3 9 - a 8 c 4 - 6 4 5 c b 8 9 5 5 f 2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 R e d n i B r o j U c e s t a l o s t i P o d a t k a < / s t r i n g > < / k e y > < v a l u e > < s t r i n g > G e n e r a l < / s t r i n g > < / v a l u e > < / i t e m > < i t e m > < k e y > < s t r i n g > I D U c e s t a l o s t i P o d a t k a < / s t r i n g > < / k e y > < v a l u e > < s t r i n g > G e n e r a l < / s t r i n g > < / v a l u e > < / i t e m > < i t e m > < k e y > < s t r i n g > U c e s t a l o s t P o d a t k a 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 0 < / i n t > < / v a l u e > < / i t e m > < i t e m > < k e y > < s t r i n g > U c e s t a l o s t P o d a t k a 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 R e d n i B r o j U c e s t a l o s t i P o d a t k a < / s t r i n g > < / k e y > < v a l u e > < s t r i n g > k n < / s t r i n g > < / v a l u e > < / i t e m > < i t e m > < k e y > < s t r i n g > I D U c e s t a l o s t i P o d a t k a < / s t r i n g > < / k e y > < v a l u e > < s t r i n g > k n < / s t r i n g > < / v a l u e > < / i t e m > < i t e m > < k e y > < s t r i n g > U c e s t a l o s t P o d a t k a 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 R e d n i B r o j U c e s t a l o s t i P o d a t k a < / s t r i n g > < / k e y > < v a l u e > < i n t > 3 < / i n t > < / v a l u e > < / i t e m > < i t e m > < k e y > < s t r i n g > I D U c e s t a l o s t i P o d a t k a < / s t r i n g > < / k e y > < v a l u e > < i n t > 3 < / i n t > < / v a l u e > < / i t e m > < i t e m > < k e y > < s t r i n g > U c e s t a l o s t P o d a t k a 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 R e d n i B r o j U c e s t a l o s t i P o d a t k a < / s t r i n g > < / k e y > < v a l u e > < i n t > 8 < / i n t > < / v a l u e > < / i t e m > < i t e m > < k e y > < s t r i n g > I D U c e s t a l o s t i P o d a t k a < / s t r i n g > < / k e y > < v a l u e > < i n t > 8 < / i n t > < / v a l u e > < / i t e m > < i t e m > < k e y > < s t r i n g > U c e s t a l o s t P o d a t k a 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 R e d n i B r o j U c e s t a l o s t i P o d a t k a < / s t r i n g > < / k e y > < v a l u e > < i n t > 2 1 1 < / i n t > < / v a l u e > < / i t e m > < i t e m > < k e y > < s t r i n g > I D U c e s t a l o s t i P o d a t k a < / s t r i n g > < / k e y > < v a l u e > < i n t > 1 6 3 < / i n t > < / v a l u e > < / i t e m > < i t e m > < k e y > < s t r i n g > U c e s t a l o s t P o d a t k a < / s t r i n g > < / k e y > < v a l u e > < i n t > 1 4 7 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 1 < / i n t > < / v a l u e > < / i t e m > < i t e m > < k e y > < s t r i n g > U c e s t a l o s t P o d a t k a 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a c 6 6 b 2 8 1 - a 6 2 3 - 4 3 b 0 - 8 c e 8 - 1 e 2 9 8 5 8 9 1 6 3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 D r u at v a < / S l i c e r S h e e t N a m e > < S A H o s t H a s h > 1 3 5 4 3 5 5 8 7 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3 5 1 d 1 d 8 5 - 2 1 c e - 4 a 4 9 - 9 5 1 d - a 5 d 6 f f 5 5 f 7 e c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werPivot Gallery Document" ma:contentTypeID="0x01010095E45217B88345418947D2378995B6B0006D7E2E07821D184E8C96A2586D5DC7C6" ma:contentTypeVersion="10" ma:contentTypeDescription="Document in a PowerPivot Gallery" ma:contentTypeScope="" ma:versionID="8af40857525472809784d5aa39dd5a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G e m i n i   x m l n s = " h t t p : / / g e m i n i / p i v o t c u s t o m i z a t i o n / c a d 2 a 5 4 c - 3 5 1 2 - 4 a 3 a - 8 e e 3 - 9 9 0 7 c e 9 6 b 9 0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 U e s t a l o s t   p o d a t a k a < / S l i c e r S h e e t N a m e > < S A H o s t H a s h > 1 6 7 6 4 9 1 4 4 3 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9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 7 C B E 3 8 A D 2 E D A 4 9 F 8 B A 3 2 < / I D > < N a m e > M i c r o s o f t _ S Q L S e r v e r _ A n a l y s i s S e r v i c e s < / N a m e > < L a n g u a g e > 1 0 5 0 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 3 5 1 d 1 d 8 5 - 2 1 c e - 4 a 4 9 - 9 5 1 d - a 5 d 6 f f 5 5 f 7 e c < / I D > < N a m e > D r u at v a < / N a m e > < A n n o t a t i o n s > < A n n o t a t i o n > < N a m e > T a b l e W i d g e t S e r i a l i z a t i o n < / N a m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 d D r u s t v a . N a z i v D r u s t v a  
     , d D r u s t v a . I D D r u s t v o  
     , d D r u s t v a . C l a n s t v o H U O  
 F R O M  
     d D r u s t v a  
 W H E R E  
     d D r u s t v a . I D   L I K E   N ' H R %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 C o l u m n O w n e r = " d D r u s t v a "   C o l u m n N a m e = " N a z i v D r u s t v a "   / & g t ; & l t ; C o l u m n E x p r e s s i o n   C o l u m n O w n e r = " d D r u s t v a "   C o l u m n N a m e = " I D D r u s t v o "   / & g t ; & l t ; C o l u m n E x p r e s s i o n   C o l u m n O w n e r = " d D r u s t v a "   C o l u m n N a m e = " C l a n s t v o H U O "   / & g t ; & l t ; / S e l e c t e d C o l u m n s & g t ; & l t ; F i l t e r s & g t ; & l t ; F i l t e r   O p e r a t o r = " L I K E " & g t ; & l t ; C o l u m n E x p r e s s i o n   C o l u m n O w n e r = " d D r u s t v a "   C o l u m n N a m e = " I D "   / & g t ; & l t ; F i l t e r V a l u e & g t ; H R %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 I s Q u e r y E d i t o r U s e d < / N a m e > < V a l u e > T r u e 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 N a z i v D r u s t v a < / A t t r i b u t e I D > < O v e r r i d e B e h a v i o r > N o n e < / O v e r r i d e B e h a v i o r > < N a m e > N a z i v D r u s t v a < / N a m e > < / A t t r i b u t e R e l a t i o n s h i p > < A t t r i b u t e R e l a t i o n s h i p > < A t t r i b u t e I D > I D D r u s t v o < / A t t r i b u t e I D > < O v e r r i d e B e h a v i o r > N o n e < / O v e r r i d e B e h a v i o r > < N a m e > I D D r u s t v o < / N a m e > < / A t t r i b u t e R e l a t i o n s h i p > < A t t r i b u t e R e l a t i o n s h i p > < A t t r i b u t e I D > C l a n s t v o H U O < / A t t r i b u t e I D > < O v e r r i d e B e h a v i o r > N o n e < / O v e r r i d e B e h a v i o r > < N a m e > C l a n s t v o H U O 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 N a z i v D r u s t v a < / I D > < N a m e > N a z i v D r u s t v a 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N a m e C o l u m n > < O r d e r B y > K e y < / O r d e r B y > < / A t t r i b u t e > < A t t r i b u t e > < I D > I D D r u s t v o < / I D > < N a m e > I D D r u s t v o 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N a m e C o l u m n > < O r d e r B y > K e y < / O r d e r B y > < / A t t r i b u t e > < A t t r i b u t e > < I D > C l a n s t v o H U O < / I D > < N a m e > C l a n s t v o H U O 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 e 0 c 5 e f e 4 - 3 0 3 8 - 4 d 3 9 - a 8 c 4 - 6 4 5 c b 8 9 5 5 f 2 5 < / I D > < N a m e > U c e s t a l o s t _ p o d a t a k a < / N a m e > < A n n o t a t i o n s > < A n n o t a t i o n > < N a m e > I s Q u e r y E d i t o r U s e d < / N a m e > < V a l u e > T r u e < / V a l u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 C o l u m n O w n e r = " s U c e s t a l o s t P o d a t a k a "   C o l u m n N a m e = " R e d n i B r o j U c e s t a l o s t i P o d a t k a "   / & g t ; & l t ; C o l u m n E x p r e s s i o n   C o l u m n O w n e r = " s U c e s t a l o s t P o d a t a k a "   C o l u m n N a m e = " I D U c e s t a l o s t i P o d a t k a "   / & g t ; & l t ; C o l u m n E x p r e s s i o n   C o l u m n O w n e r = " s U c e s t a l o s t P o d a t a k a "   C o l u m n N a m e = " U c e s t a l o s t P o d a t k a "   / & g t ; & l t ; / S e l e c t e d C o l u m n s & g t ; & l t ; F i l t e r s & g t ; & l t ; F i l t e r   O p e r a t o r = " = " & g t ; & l t ; C o l u m n E x p r e s s i o n   C o l u m n O w n e r = " s U c e s t a l o s t P o d a t a k a "   C o l u m n N a m e = " U c e s t a l o s t P o d a t k a "   / & g t ; & l t ; F i l t e r V a l u e & g t ; G O D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 R e d n i B r o j U c e s t a l o s t i P o d a t k a < / A t t r i b u t e I D > < O v e r r i d e B e h a v i o r > N o n e < / O v e r r i d e B e h a v i o r > < N a m e > R e d n i B r o j U c e s t a l o s t i P o d a t k a < / N a m e > < / A t t r i b u t e R e l a t i o n s h i p > < A t t r i b u t e R e l a t i o n s h i p > < A t t r i b u t e I D > I D U c e s t a l o s t i P o d a t k a < / A t t r i b u t e I D > < O v e r r i d e B e h a v i o r > N o n e < / O v e r r i d e B e h a v i o r > < N a m e > I D U c e s t a l o s t i P o d a t k a < / N a m e > < / A t t r i b u t e R e l a t i o n s h i p > < A t t r i b u t e R e l a t i o n s h i p > < A t t r i b u t e I D > U c e s t a l o s t P o d a t k a < / A t t r i b u t e I D > < O v e r r i d e B e h a v i o r > N o n e < / O v e r r i d e B e h a v i o r > < N a m e > U c e s t a l o s t P o d a t k a 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 R e d n i B r o j U c e s t a l o s t i P o d a t k a < / I D > < N a m e > R e d n i B r o j U c e s t a l o s t i P o d a t k a 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N a m e C o l u m n > < O r d e r B y > K e y < / O r d e r B y > < / A t t r i b u t e > < A t t r i b u t e > < I D > I D U c e s t a l o s t i P o d a t k a < / I D > < N a m e > I D U c e s t a l o s t i P o d a t k a 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N a m e C o l u m n > < O r d e r B y > K e y < / O r d e r B y > < / A t t r i b u t e > < A t t r i b u t e > < I D > U c e s t a l o s t P o d a t k a < / I D > < N a m e > U c e s t a l o s t P o d a t k a 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 1 0 5 0 < / L a n g u a g e > < D i m e n s i o n s > < D i m e n s i o n > < I D > 3 5 1 d 1 d 8 5 - 2 1 c e - 4 a 4 9 - 9 5 1 d - a 5 d 6 f f 5 5 f 7 e c < / I D > < N a m e > D r u at v a < / N a m e > < D i m e n s i o n I D > 3 5 1 d 1 d 8 5 - 2 1 c e - 4 a 4 9 - 9 5 1 d - a 5 d 6 f f 5 5 f 7 e c 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 N a z i v D r u s t v a < / A t t r i b u t e I D > < / A t t r i b u t e > < A t t r i b u t e > < A t t r i b u t e I D > I D D r u s t v o < / A t t r i b u t e I D > < / A t t r i b u t e > < A t t r i b u t e > < A t t r i b u t e I D > C l a n s t v o H U O < / A t t r i b u t e I D > < / A t t r i b u t e > < / A t t r i b u t e s > < / D i m e n s i o n > < D i m e n s i o n > < I D > e 0 c 5 e f e 4 - 3 0 3 8 - 4 d 3 9 - a 8 c 4 - 6 4 5 c b 8 9 5 5 f 2 5 < / I D > < N a m e > U c e s t a l o s t _ p o d a t a k a < / N a m e > < D i m e n s i o n I D > e 0 c 5 e f e 4 - 3 0 3 8 - 4 d 3 9 - a 8 c 4 - 6 4 5 c b 8 9 5 5 f 2 5 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 R e d n i B r o j U c e s t a l o s t i P o d a t k a < / A t t r i b u t e I D > < / A t t r i b u t e > < A t t r i b u t e > < A t t r i b u t e I D > I D U c e s t a l o s t i P o d a t k a < / A t t r i b u t e I D > < / A t t r i b u t e > < A t t r i b u t e > < A t t r i b u t e I D > U c e s t a l o s t P o d a t k a < / A t t r i b u t e I D > < / A t t r i b u t e > < / A t t r i b u t e s > < / D i m e n s i o n > < / D i m e n s i o n s > < M e a s u r e G r o u p s > < M e a s u r e G r o u p > < I D > 3 5 1 d 1 d 8 5 - 2 1 c e - 4 a 4 9 - 9 5 1 d - a 5 d 6 f f 5 5 f 7 e c < / I D > < N a m e > D r u at v a < / N a m e > < M e a s u r e s > < M e a s u r e > < I D > 3 5 1 d 1 d 8 5 - 2 1 c e - 4 a 4 9 - 9 5 1 d - a 5 d 6 f f 5 5 f 7 e c < / I D > < N a m e > _ C o u n t   D r u at v a 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 _ x 0 0 3 3 _ 5 1 d 1 d 8 5 - 2 1 c e - 4 a 4 9 - 9 5 1 d - a 5 d 6 f f 5 5 f 7 e c 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 3 5 1 d 1 d 8 5 - 2 1 c e - 4 a 4 9 - 9 5 1 d - a 5 d 6 f f 5 5 f 7 e c 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< / T a b l e I D > < C o l u m n I D > R o w N u m b e r < / C o l u m n I D > < / S o u r c e > < / K e y C o l u m n > < / K e y C o l u m n s > < T y p e > G r a n u l a r i t y < / T y p e > < / A t t r i b u t e > < A t t r i b u t e > < A t t r i b u t e I D > N a z i v D r u s t v a 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/ A t t r i b u t e > < A t t r i b u t e > < A t t r i b u t e I D > I D D r u s t v o 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/ A t t r i b u t e > < A t t r i b u t e > < A t t r i b u t e I D > C l a n s t v o H U O 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 3 5 1 d 1 d 8 5 - 2 1 c e - 4 a 4 9 - 9 5 1 d - a 5 d 6 f f 5 5 f 7 e c < / I D > < N a m e > _ C o u n t   D r u at v a < / N a m e > < S o u r c e   x s i : t y p e = " Q u e r y B i n d i n g " > < D a t a S o u r c e I D > 4 0 5 d a 1 e b - 3 e 6 e - 4 7 a 6 - a 6 1 c - 9 e 3 d b e d 1 1 9 5 9 < / D a t a S o u r c e I D > < Q u e r y D e f i n i t i o n > S E L E C T  
     d D r u s t v a . N a z i v D r u s t v a  
     , d D r u s t v a . I D D r u s t v o  
     , d D r u s t v a . C l a n s t v o H U O  
 F R O M  
     d D r u s t v a  
 W H E R E  
     d D r u s t v a . I D   L I K E   N ' H R % ' 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 e 0 c 5 e f e 4 - 3 0 3 8 - 4 d 3 9 - a 8 c 4 - 6 4 5 c b 8 9 5 5 f 2 5 < / I D > < N a m e > U c e s t a l o s t _ p o d a t a k a < / N a m e > < M e a s u r e s > < M e a s u r e > < I D > e 0 c 5 e f e 4 - 3 0 3 8 - 4 d 3 9 - a 8 c 4 - 6 4 5 c b 8 9 5 5 f 2 5 < / I D > < N a m e > _ C o u n t   U c e s t a l o s t _ p o d a t a k a 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 e 0 c 5 e f e 4 - 3 0 3 8 - 4 d 3 9 - a 8 c 4 - 6 4 5 c b 8 9 5 5 f 2 5 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 e 0 c 5 e f e 4 - 3 0 3 8 - 4 d 3 9 - a 8 c 4 - 6 4 5 c b 8 9 5 5 f 2 5 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 Q u e r y _ x 0 0 2 0 _ 1 < / T a b l e I D > < C o l u m n I D > R o w N u m b e r < / C o l u m n I D > < / S o u r c e > < / K e y C o l u m n > < / K e y C o l u m n s > < T y p e > G r a n u l a r i t y < / T y p e > < / A t t r i b u t e > < A t t r i b u t e > < A t t r i b u t e I D > R e d n i B r o j U c e s t a l o s t i P o d a t k a 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/ A t t r i b u t e > < A t t r i b u t e > < A t t r i b u t e I D > I D U c e s t a l o s t i P o d a t k a 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/ A t t r i b u t e > < A t t r i b u t e > < A t t r i b u t e I D > U c e s t a l o s t P o d a t k a 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 e 0 c 5 e f e 4 - 3 0 3 8 - 4 d 3 9 - a 8 c 4 - 6 4 5 c b 8 9 5 5 f 2 5 < / I D > < N a m e > _ C o u n t   U c e s t a l o s t _ p o d a t a k a < / N a m e > < S o u r c e   x s i : t y p e = " Q u e r y B i n d i n g " > < D a t a S o u r c e I D > 2 5 a f 4 d 4 4 - 1 7 b 4 - 4 f e a - 9 8 b 2 - b 3 7 3 5 6 2 e 8 e 8 7 < / D a t a S o u r c e I D > < Q u e r y D e f i n i t i o n >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 
 C R E A T E   M E M B E R   C U R R E N T C U B E . M e a s u r e s . [ c 7 5 9 a 8 4 b - 8 4 f d - 4 c 6 7 - b 8 6 c - 5 8 4 8 a d 3 8 6 4 d 1 ]   A S   1 ,   V i s i b l e = 0 ;    
 A L T E R   C U B E   C U R R E N T C U B E   U P D A T E   D I M E N S I O N   M e a s u r e s ,   D e f a u l t _ M e m b e r   =   [ c 7 5 9 a 8 4 b - 8 4 f d - 4 c 6 7 - b 8 6 c - 5 8 4 8 a d 3 8 6 4 d 1 ] ;   < / T e x t > < / C o m m a n d > < / C o m m a n d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 4 0 5 d a 1 e b - 3 e 6 e - 4 7 a 6 - a 6 1 c - 9 e 3 d b e d 1 1 9 5 9 < / I D > < N a m e > S q l S e r v e r   k r k   H U O _ D W H 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D a t a S o u r c e   x s i : t y p e = " R e l a t i o n a l D a t a S o u r c e " > < I D > 2 5 a f 4 d 4 4 - 1 7 b 4 - 4 f e a - 9 8 b 2 - b 3 7 3 5 6 2 e 8 e 8 7 < / I D > < N a m e > S q l S e r v e r   k r k   H U O _ D W H   2 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/ D a t a S o u r c e s > < D a t a S o u r c e V i e w s > < D a t a S o u r c e V i e w > < I D > S a n d b o x < / I D > < N a m e > S a n d b o x < / N a m e > < D a t a S o u r c e I D > 4 0 5 d a 1 e b - 3 e 6 e - 4 7 a 6 - a 6 1 c - 9 e 3 d b e d 1 1 9 5 9 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h r - H R " > < x s : c o m p l e x T y p e > < x s : c h o i c e   m i n O c c u r s = " 0 "   m a x O c c u r s = " u n b o u n d e d " > < x s : e l e m e n t   n a m e = " _ x 0 0 3 3 _ 5 1 d 1 d 8 5 - 2 1 c e - 4 a 4 9 - 9 5 1 d - a 5 d 6 f f 5 5 f 7 e c "   m s d a t a : L o c a l e = " "   m s p r o p : F r i e n d l y N a m e = " D r u at v a "   m s p r o p : Q u e r y D e f i n i t i o n = " S E L E C T & # x D ; & # x A ;     d D r u s t v a . N a z i v D r u s t v a & # x D ; & # x A ;     , d D r u s t v a . I D D r u s t v o & # x D ; & # x A ;     , d D r u s t v a . C l a n s t v o H U O & # x D ; & # x A ; F R O M & # x D ; & # x A ;     d D r u s t v a & # x D ; & # x A ; W H E R E & # x D ; & # x A ;     d D r u s t v a . I D   L I K E   N ' H R % ' "   m s p r o p : I s L o g i c a l = " T r u e "   m s p r o p : D b T a b l e N a m e = " Q u e r y "   m s p r o p : D e s c r i p t i o n = " Q u e r y "   m s p r o p : T a b l e T y p e = " V i e w " > < x s : c o m p l e x T y p e > < x s : s e q u e n c e > < x s : e l e m e n t   n a m e = " N a z i v D r u s t v a "   m s p r o p : F r i e n d l y N a m e = " N a z i v D r u s t v a "   m s p r o p : D b C o l u m n N a m e = " N a z i v D r u s t v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I D D r u s t v o "   m s p r o p : F r i e n d l y N a m e = " I D D r u s t v o "   m s p r o p : D b C o l u m n N a m e = " I D D r u s t v o "   t y p e = " x s : i n t "   m i n O c c u r s = " 0 "   / > < x s : e l e m e n t   n a m e = " C l a n s t v o H U O "   m s p r o p : F r i e n d l y N a m e = " C l a n s t v o H U O "   m s p r o p : D b C o l u m n N a m e = " C l a n s t v o H U O "   t y p e = " x s : b o o l e a n "   m i n O c c u r s = " 0 "   / > < / x s : s e q u e n c e > < / x s : c o m p l e x T y p e > < / x s : e l e m e n t > < x s : e l e m e n t   n a m e = " e 0 c 5 e f e 4 - 3 0 3 8 - 4 d 3 9 - a 8 c 4 - 6 4 5 c b 8 9 5 5 f 2 5 "   m s d a t a : L o c a l e = " "   m s p r o p : F r i e n d l y N a m e = " U c e s t a l o s t _ p o d a t a k a "   m s p r o p : Q u e r y D e f i n i t i o n = " S E L E C T & # x D ; & # x A ;     s U c e s t a l o s t P o d a t a k a . R e d n i B r o j U c e s t a l o s t i P o d a t k a & # x D ; & # x A ;     , s U c e s t a l o s t P o d a t a k a . I D U c e s t a l o s t i P o d a t k a & # x D ; & # x A ;     , s U c e s t a l o s t P o d a t a k a . U c e s t a l o s t P o d a t k a & # x D ; & # x A ; F R O M & # x D ; & # x A ;     s U c e s t a l o s t P o d a t a k a & # x D ; & # x A ; W H E R E & # x D ; & # x A ;     s U c e s t a l o s t P o d a t a k a . U c e s t a l o s t P o d a t k a   =   N ' G O D ' "   m s p r o p : I s L o g i c a l = " T r u e "   m s p r o p : D b T a b l e N a m e = " Q u e r y   1 "   m s p r o p : T a b l e T y p e = " V i e w "   m s p r o p : D e s c r i p t i o n = " Q u e r y   1 "   m s p r o p : D a t a S o u r c e I D = " 2 5 a f 4 d 4 4 - 1 7 b 4 - 4 f e a - 9 8 b 2 - b 3 7 3 5 6 2 e 8 e 8 7 " > < x s : c o m p l e x T y p e > < x s : s e q u e n c e > < x s : e l e m e n t   n a m e = " R e d n i B r o j U c e s t a l o s t i P o d a t k a "   m s p r o p : F r i e n d l y N a m e = " R e d n i B r o j U c e s t a l o s t i P o d a t k a "   m s p r o p : D b C o l u m n N a m e = " R e d n i B r o j U c e s t a l o s t i P o d a t k a "   t y p e = " x s : i n t "   m i n O c c u r s = " 0 "   / > < x s : e l e m e n t   n a m e = " I D U c e s t a l o s t i P o d a t k a "   m s p r o p : F r i e n d l y N a m e = " I D U c e s t a l o s t i P o d a t k a "   m s p r o p : D b C o l u m n N a m e = " I D U c e s t a l o s t i P o d a t k a "   t y p e = " x s : i n t "   m i n O c c u r s = " 0 "   / > < x s : e l e m e n t   n a m e = " U c e s t a l o s t P o d a t k a "   m s p r o p : F r i e n d l y N a m e = " U c e s t a l o s t P o d a t k a "   m s p r o p : D b C o l u m n N a m e = " U c e s t a l o s t P o d a t k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Props1.xml><?xml version="1.0" encoding="utf-8"?>
<ds:datastoreItem xmlns:ds="http://schemas.openxmlformats.org/officeDocument/2006/customXml" ds:itemID="{EDAABD18-118D-4BDA-AD49-CE15365634C3}">
  <ds:schemaRefs>
    <ds:schemaRef ds:uri="http://gemini/workbookcustomization/RelationshipAutoDetectionEnabled"/>
  </ds:schemaRefs>
</ds:datastoreItem>
</file>

<file path=customXml/itemProps10.xml><?xml version="1.0" encoding="utf-8"?>
<ds:datastoreItem xmlns:ds="http://schemas.openxmlformats.org/officeDocument/2006/customXml" ds:itemID="{A93B0FB7-741A-4A17-8F55-22B98474EA73}">
  <ds:schemaRefs>
    <ds:schemaRef ds:uri="http://gemini/pivotcustomization/LinkedTableUpdateMode"/>
  </ds:schemaRefs>
</ds:datastoreItem>
</file>

<file path=customXml/itemProps11.xml><?xml version="1.0" encoding="utf-8"?>
<ds:datastoreItem xmlns:ds="http://schemas.openxmlformats.org/officeDocument/2006/customXml" ds:itemID="{3CD8BD42-DCA6-4116-BF87-188EBF22347B}">
  <ds:schemaRefs>
    <ds:schemaRef ds:uri="http://gemini/pivotcustomization/TableOrder"/>
  </ds:schemaRefs>
</ds:datastoreItem>
</file>

<file path=customXml/itemProps12.xml><?xml version="1.0" encoding="utf-8"?>
<ds:datastoreItem xmlns:ds="http://schemas.openxmlformats.org/officeDocument/2006/customXml" ds:itemID="{AAE97597-96BF-4D2B-B700-3AC0033C3EE0}">
  <ds:schemaRefs>
    <ds:schemaRef ds:uri="http://gemini/pivotcustomization/TableXML_351d1d85-21ce-4a49-951d-a5d6ff55f7ec"/>
  </ds:schemaRefs>
</ds:datastoreItem>
</file>

<file path=customXml/itemProps13.xml><?xml version="1.0" encoding="utf-8"?>
<ds:datastoreItem xmlns:ds="http://schemas.openxmlformats.org/officeDocument/2006/customXml" ds:itemID="{B3B3704B-7A30-4EBF-BA42-55C0EA02ED90}">
  <ds:schemaRefs>
    <ds:schemaRef ds:uri="http://gemini/pivotcustomization/TableCountInSandbox"/>
  </ds:schemaRefs>
</ds:datastoreItem>
</file>

<file path=customXml/itemProps14.xml><?xml version="1.0" encoding="utf-8"?>
<ds:datastoreItem xmlns:ds="http://schemas.openxmlformats.org/officeDocument/2006/customXml" ds:itemID="{46739B27-99FE-4ADE-B1E6-3FFC52B89BD0}">
  <ds:schemaRefs>
    <ds:schemaRef ds:uri="http://gemini/pivotcustomization/TableXML_e0c5efe4-3038-4d39-a8c4-645cb8955f25"/>
  </ds:schemaRefs>
</ds:datastoreItem>
</file>

<file path=customXml/itemProps15.xml><?xml version="1.0" encoding="utf-8"?>
<ds:datastoreItem xmlns:ds="http://schemas.openxmlformats.org/officeDocument/2006/customXml" ds:itemID="{8B75C02B-03E5-471B-A96A-CD215D67F5FA}">
  <ds:schemaRefs>
    <ds:schemaRef ds:uri="http://gemini/pivotcustomization/ac66b281-a623-43b0-8ce8-1e2985891636"/>
  </ds:schemaRefs>
</ds:datastoreItem>
</file>

<file path=customXml/itemProps16.xml><?xml version="1.0" encoding="utf-8"?>
<ds:datastoreItem xmlns:ds="http://schemas.openxmlformats.org/officeDocument/2006/customXml" ds:itemID="{95A8892F-3F1A-4A8D-B380-99AC3466095F}">
  <ds:schemaRefs>
    <ds:schemaRef ds:uri="http://gemini/workbookcustomization/SandboxNonEmpty"/>
  </ds:schemaRefs>
</ds:datastoreItem>
</file>

<file path=customXml/itemProps2.xml><?xml version="1.0" encoding="utf-8"?>
<ds:datastoreItem xmlns:ds="http://schemas.openxmlformats.org/officeDocument/2006/customXml" ds:itemID="{C2E914F6-FF4C-4893-9D14-60532B05A83C}">
  <ds:schemaRefs>
    <ds:schemaRef ds:uri="http://gemini/pivotcustomization/ClientWindowXML"/>
  </ds:schemaRefs>
</ds:datastoreItem>
</file>

<file path=customXml/itemProps3.xml><?xml version="1.0" encoding="utf-8"?>
<ds:datastoreItem xmlns:ds="http://schemas.openxmlformats.org/officeDocument/2006/customXml" ds:itemID="{C75D6010-9294-48DA-87A6-D5A5F3C7F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1F87515-CA5A-4014-8A10-DD684A018A9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2C84073-EF9A-40B4-9E4A-22A1BC327D92}">
  <ds:schemaRefs>
    <ds:schemaRef ds:uri="http://gemini/pivotcustomization/cad2a54c-3512-4a3a-8ee3-9907ce96b906"/>
  </ds:schemaRefs>
</ds:datastoreItem>
</file>

<file path=customXml/itemProps6.xml><?xml version="1.0" encoding="utf-8"?>
<ds:datastoreItem xmlns:ds="http://schemas.openxmlformats.org/officeDocument/2006/customXml" ds:itemID="{F983FFC8-330E-4A7B-BC7D-D511D19E6429}">
  <ds:schemaRefs>
    <ds:schemaRef ds:uri="http://gemini/pivotcustomization/ManualCalcMode"/>
  </ds:schemaRefs>
</ds:datastoreItem>
</file>

<file path=customXml/itemProps7.xml><?xml version="1.0" encoding="utf-8"?>
<ds:datastoreItem xmlns:ds="http://schemas.openxmlformats.org/officeDocument/2006/customXml" ds:itemID="{46A73E76-40E7-4660-89E2-3335E39D7A42}">
  <ds:schemaRefs>
    <ds:schemaRef ds:uri="http://gemini/workbookcustomization/LinkedTables"/>
  </ds:schemaRefs>
</ds:datastoreItem>
</file>

<file path=customXml/itemProps8.xml><?xml version="1.0" encoding="utf-8"?>
<ds:datastoreItem xmlns:ds="http://schemas.openxmlformats.org/officeDocument/2006/customXml" ds:itemID="{A67EBF0E-87D8-443A-B884-D0382E1BB058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9.xml><?xml version="1.0" encoding="utf-8"?>
<ds:datastoreItem xmlns:ds="http://schemas.openxmlformats.org/officeDocument/2006/customXml" ds:itemID="{617A4EA2-B2D7-4799-B1FD-6B8951537BE9}">
  <ds:schemaRefs>
    <ds:schemaRef ds:uri="http://gemini/workbookcustomization/MetadataRecoveryInform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17</vt:i4>
      </vt:variant>
    </vt:vector>
  </HeadingPairs>
  <TitlesOfParts>
    <vt:vector size="44" baseType="lpstr">
      <vt:lpstr>Naslovnica</vt:lpstr>
      <vt:lpstr>pomoćna</vt:lpstr>
      <vt:lpstr>Društva</vt:lpstr>
      <vt:lpstr>Društva-ž+n-ZBP</vt:lpstr>
      <vt:lpstr>Društva-BROJ OSIG.</vt:lpstr>
      <vt:lpstr>Skupni-premija-NO+ŽO-08-07</vt:lpstr>
      <vt:lpstr>Skupni-br.osig.-NO+ŽO-07-08</vt:lpstr>
      <vt:lpstr>Skupni-br.šteta.-07-08</vt:lpstr>
      <vt:lpstr>Skupni-likv.štete-kn-08-07</vt:lpstr>
      <vt:lpstr>Skupni-premija-obvezna</vt:lpstr>
      <vt:lpstr>Skupni-štete-obvezna</vt:lpstr>
      <vt:lpstr>Skupni-premija-nezgoda i zdr.</vt:lpstr>
      <vt:lpstr>Skupni-štete-nezgoda i zdr.</vt:lpstr>
      <vt:lpstr>Skupni-premije-vrste-kasko</vt:lpstr>
      <vt:lpstr>Skupni-štete-vrste-kasko</vt:lpstr>
      <vt:lpstr>Skupni-premija-imovina</vt:lpstr>
      <vt:lpstr>Skupni-štete-imovina</vt:lpstr>
      <vt:lpstr>Skupni-premija-odgovornost</vt:lpstr>
      <vt:lpstr>Skupni-štete-odgovornost</vt:lpstr>
      <vt:lpstr>Skupni-premija-ostala odgov.</vt:lpstr>
      <vt:lpstr>Skupni-štete-ostala odgov</vt:lpstr>
      <vt:lpstr>Skupni-premija-ostalo</vt:lpstr>
      <vt:lpstr>Skupni-štete-ostalo</vt:lpstr>
      <vt:lpstr>Skupni-premija-život</vt:lpstr>
      <vt:lpstr>Skupni-štete-život</vt:lpstr>
      <vt:lpstr>HUOS</vt:lpstr>
      <vt:lpstr>HUOS podloga</vt:lpstr>
      <vt:lpstr>'Društva-BROJ OSIG.'!Print_Area</vt:lpstr>
      <vt:lpstr>'Društva-ž+n-ZBP'!Print_Area</vt:lpstr>
      <vt:lpstr>'Skupni-br.osig.-NO+ŽO-07-08'!Print_Area</vt:lpstr>
      <vt:lpstr>'Skupni-br.šteta.-07-08'!Print_Area</vt:lpstr>
      <vt:lpstr>'Skupni-likv.štete-kn-08-07'!Print_Area</vt:lpstr>
      <vt:lpstr>'Skupni-premija-imovina'!Print_Area</vt:lpstr>
      <vt:lpstr>'Skupni-premija-nezgoda i zdr.'!Print_Area</vt:lpstr>
      <vt:lpstr>'Skupni-premija-NO+ŽO-08-07'!Print_Area</vt:lpstr>
      <vt:lpstr>'Skupni-premija-obvezna'!Print_Area</vt:lpstr>
      <vt:lpstr>'Skupni-premija-život'!Print_Area</vt:lpstr>
      <vt:lpstr>'Skupni-premije-vrste-kasko'!Print_Area</vt:lpstr>
      <vt:lpstr>'Skupni-štete-imovina'!Print_Area</vt:lpstr>
      <vt:lpstr>'Skupni-štete-nezgoda i zdr.'!Print_Area</vt:lpstr>
      <vt:lpstr>'Skupni-štete-obvezna'!Print_Area</vt:lpstr>
      <vt:lpstr>'Skupni-štete-vrste-kasko'!Print_Area</vt:lpstr>
      <vt:lpstr>'Skupni-premija-život'!Print_Titles</vt:lpstr>
      <vt:lpstr>'Skupni-štete-život'!Print_Titles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Matovina</dc:creator>
  <cp:lastModifiedBy>Mihaela Premor Andrijanić</cp:lastModifiedBy>
  <cp:lastPrinted>2014-10-13T06:22:44Z</cp:lastPrinted>
  <dcterms:created xsi:type="dcterms:W3CDTF">2012-05-29T11:01:00Z</dcterms:created>
  <dcterms:modified xsi:type="dcterms:W3CDTF">2014-10-13T06:31:49Z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0x01010095E45217B88345418947D2378995B6B0006D7E2E07821D184E8C96A2586D5DC7C6</vt:lpwstr>
  </property>
</Properties>
</file>